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4.xml.rels" ContentType="application/vnd.openxmlformats-package.relationships+xml"/>
  <Override PartName="/xl/worksheets/_rels/sheet8.xml.rels" ContentType="application/vnd.openxmlformats-package.relationships+xml"/>
  <Override PartName="/xl/worksheets/_rels/sheet11.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18.xml.rels" ContentType="application/vnd.openxmlformats-package.relationships+xml"/>
  <Override PartName="/xl/worksheets/_rels/sheet17.xml.rels" ContentType="application/vnd.openxmlformats-package.relationships+xml"/>
  <Override PartName="/xl/worksheets/_rels/sheet16.xml.rels" ContentType="application/vnd.openxmlformats-package.relationships+xml"/>
  <Override PartName="/xl/worksheets/_rels/sheet15.xml.rels" ContentType="application/vnd.openxmlformats-package.relationships+xml"/>
  <Override PartName="/xl/worksheets/_rels/sheet9.xml.rels" ContentType="application/vnd.openxmlformats-package.relationships+xml"/>
  <Override PartName="/xl/worksheets/_rels/sheet3.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3.xml" ContentType="application/vnd.openxmlformats-officedocument.drawing+xml"/>
  <Override PartName="/xl/drawings/drawing4.xml" ContentType="application/vnd.openxmlformats-officedocument.drawing+xml"/>
  <Override PartName="/xl/drawings/drawing9.xml" ContentType="application/vnd.openxmlformats-officedocument.drawing+xml"/>
  <Override PartName="/xl/drawings/drawing14.xml" ContentType="application/vnd.openxmlformats-officedocument.drawing+xml"/>
  <Override PartName="/xl/drawings/drawing5.xml" ContentType="application/vnd.openxmlformats-officedocument.drawing+xml"/>
  <Override PartName="/xl/drawings/drawing15.xml" ContentType="application/vnd.openxmlformats-officedocument.drawing+xml"/>
  <Override PartName="/xl/drawings/drawing6.xml" ContentType="application/vnd.openxmlformats-officedocument.drawing+xml"/>
  <Override PartName="/xl/drawings/drawing10.xml" ContentType="application/vnd.openxmlformats-officedocument.drawing+xml"/>
  <Override PartName="/xl/drawings/drawing1.xml" ContentType="application/vnd.openxmlformats-officedocument.drawing+xml"/>
  <Override PartName="/xl/drawings/drawing16.xml" ContentType="application/vnd.openxmlformats-officedocument.drawing+xml"/>
  <Override PartName="/xl/drawings/drawing7.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8.xml" ContentType="application/vnd.openxmlformats-officedocument.drawing+xml"/>
  <Override PartName="/xl/drawings/_rels/drawing3.xml.rels" ContentType="application/vnd.openxmlformats-package.relationships+xml"/>
  <Override PartName="/xl/drawings/_rels/drawing8.xml.rels" ContentType="application/vnd.openxmlformats-package.relationships+xml"/>
  <Override PartName="/xl/drawings/_rels/drawing2.xml.rels" ContentType="application/vnd.openxmlformats-package.relationships+xml"/>
  <Override PartName="/xl/drawings/_rels/drawing13.xml.rels" ContentType="application/vnd.openxmlformats-package.relationships+xml"/>
  <Override PartName="/xl/drawings/_rels/drawing4.xml.rels" ContentType="application/vnd.openxmlformats-package.relationships+xml"/>
  <Override PartName="/xl/drawings/_rels/drawing9.xml.rels" ContentType="application/vnd.openxmlformats-package.relationships+xml"/>
  <Override PartName="/xl/drawings/_rels/drawing14.xml.rels" ContentType="application/vnd.openxmlformats-package.relationships+xml"/>
  <Override PartName="/xl/drawings/_rels/drawing5.xml.rels" ContentType="application/vnd.openxmlformats-package.relationships+xml"/>
  <Override PartName="/xl/drawings/_rels/drawing10.xml.rels" ContentType="application/vnd.openxmlformats-package.relationships+xml"/>
  <Override PartName="/xl/drawings/_rels/drawing15.xml.rels" ContentType="application/vnd.openxmlformats-package.relationships+xml"/>
  <Override PartName="/xl/drawings/_rels/drawing6.xml.rels" ContentType="application/vnd.openxmlformats-package.relationships+xml"/>
  <Override PartName="/xl/drawings/_rels/drawing11.xml.rels" ContentType="application/vnd.openxmlformats-package.relationships+xml"/>
  <Override PartName="/xl/drawings/_rels/drawing1.xml.rels" ContentType="application/vnd.openxmlformats-package.relationships+xml"/>
  <Override PartName="/xl/drawings/_rels/drawing16.xml.rels" ContentType="application/vnd.openxmlformats-package.relationships+xml"/>
  <Override PartName="/xl/drawings/_rels/drawing7.xml.rels" ContentType="application/vnd.openxmlformats-package.relationships+xml"/>
  <Override PartName="/xl/drawings/_rels/drawing12.xml.rels" ContentType="application/vnd.openxmlformats-package.relationships+xml"/>
  <Override PartName="/xl/drawings/drawing12.xml" ContentType="application/vnd.openxmlformats-officedocument.drawing+xml"/>
  <Override PartName="/xl/drawings/drawing3.xml" ContentType="application/vnd.openxmlformats-officedocument.drawing+xml"/>
  <Override PartName="/xl/charts/chart29.xml" ContentType="application/vnd.openxmlformats-officedocument.drawingml.chart+xml"/>
  <Override PartName="/xl/charts/chart28.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10.xml" ContentType="application/vnd.openxmlformats-officedocument.drawingml.chart+xml"/>
  <Override PartName="/xl/charts/chart6.xml" ContentType="application/vnd.openxmlformats-officedocument.drawingml.chart+xml"/>
  <Override PartName="/xl/charts/chart11.xml" ContentType="application/vnd.openxmlformats-officedocument.drawingml.chart+xml"/>
  <Override PartName="/xl/charts/chart7.xml" ContentType="application/vnd.openxmlformats-officedocument.drawingml.chart+xml"/>
  <Override PartName="/xl/charts/chart12.xml" ContentType="application/vnd.openxmlformats-officedocument.drawingml.chart+xml"/>
  <Override PartName="/xl/charts/chart8.xml" ContentType="application/vnd.openxmlformats-officedocument.drawingml.chart+xml"/>
  <Override PartName="/xl/charts/chart13.xml" ContentType="application/vnd.openxmlformats-officedocument.drawingml.chart+xml"/>
  <Override PartName="/xl/charts/chart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2.xml" ContentType="application/vnd.openxmlformats-officedocument.drawingml.chart+xml"/>
  <Override PartName="/xl/charts/chart1.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20.xml" ContentType="application/vnd.openxmlformats-officedocument.drawingml.chart+xml"/>
  <Override PartName="/xl/charts/chart19.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rsenal" sheetId="2" state="visible" r:id="rId4"/>
    <sheet name="Garage Costs" sheetId="3" state="visible" r:id="rId5"/>
    <sheet name="Missile Silos" sheetId="4" state="visible" r:id="rId6"/>
    <sheet name="Ion Shield Nodes" sheetId="5" state="visible" r:id="rId7"/>
    <sheet name="Hull Plating" sheetId="6" state="visible" r:id="rId8"/>
    <sheet name="Tesla Coils" sheetId="7" state="visible" r:id="rId9"/>
    <sheet name="Laser Arrays" sheetId="8" state="visible" r:id="rId10"/>
    <sheet name="Salvage Vacuum" sheetId="9" state="visible" r:id="rId11"/>
    <sheet name="Deadstick Pilot" sheetId="10" state="visible" r:id="rId12"/>
    <sheet name="Pulse Emitter" sheetId="11" state="visible" r:id="rId13"/>
    <sheet name="Gravity Well" sheetId="12" state="visible" r:id="rId14"/>
    <sheet name="Hellstitch" sheetId="13" state="visible" r:id="rId15"/>
    <sheet name="Aegis Net" sheetId="14" state="visible" r:id="rId16"/>
    <sheet name="Upgrade Shop" sheetId="15" state="visible" r:id="rId17"/>
    <sheet name="Escalation" sheetId="16" state="visible" r:id="rId18"/>
    <sheet name="Enemy Roster" sheetId="17" state="visible" r:id="rId19"/>
    <sheet name="Enemy Codex" sheetId="18" state="visible" r:id="rId20"/>
    <sheet name="Counters" sheetId="19" state="visible" r:id="rId21"/>
    <sheet name="Weapon Spec Template" sheetId="20" state="visible" r:id="rId22"/>
    <sheet name="Community Proposals" sheetId="21" state="visible" r:id="rId2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<sst xmlns="http://schemas.openxmlformats.org/spreadsheetml/2006/main" count="1135" uniqueCount="713">
  <si>
    <t xml:space="preserve">LAST RADIUS · WEAPONS CODEX</t>
  </si>
  <si>
    <t xml:space="preserve">Community reference for every weapon, upgrade level, cost curve and enemy scaling · game version 1.4.0</t>
  </si>
  <si>
    <t xml:space="preserve">What this is</t>
  </si>
  <si>
    <t xml:space="preserve">The numbers behind every weapon in Last Radius, pulled straight from the game code. Same idea as the community sheets other tower-defense games keep: base value, what each level adds, the cost of every level, and graphs of how it all scales.</t>
  </si>
  <si>
    <t xml:space="preserve">Two kinds of numbers</t>
  </si>
  <si>
    <t xml:space="preserve">Garage levels are permanent upgrades bought with vault salvage between runs (levels 1–10, capped by Core Rank). The Upgrade Shop is bought with run salvage during a run and resets every run.</t>
  </si>
  <si>
    <t xml:space="preserve">Blue cells</t>
  </si>
  <si>
    <t xml:space="preserve">Blue text on a yellow fill is an editable base value. Every level table recalculates from those cells, so you can test a balance idea ("what if Tesla arcs started at 3 damage?") and see the whole curve change. Change them in your own copy; the live game is not affected.</t>
  </si>
  <si>
    <t xml:space="preserve">Black cells</t>
  </si>
  <si>
    <t xml:space="preserve">Formulas. Don't type over them; change the blue cell they read instead.</t>
  </si>
  <si>
    <t xml:space="preserve">Perk levels</t>
  </si>
  <si>
    <t xml:space="preserve">Every Garage system unlocks perks at levels 3, 5, 6, 9 and 10. Level 9 perks only work while the system is ATTUNED (2 attunement slots). Level 10 Legendary perks need the system at level 10 (or the Legendary perk bought in the gem shop) and attuned.</t>
  </si>
  <si>
    <t xml:space="preserve">Cross-system bonuses</t>
  </si>
  <si>
    <t xml:space="preserve">Some level-5 perks scale with another system (for example Tesla Capacitor Feed adds chain hops for every 2 Ion Shield levels). Level tables show each system on its own, with the other systems at 0 and Core Rank at the value in that sheet's Core Rank cell. Perk notes say where a second system adds more.</t>
  </si>
  <si>
    <t xml:space="preserve">Sheets</t>
  </si>
  <si>
    <t xml:space="preserve">Arsenal: every weapon at a glance · Garage Costs: what every level costs and the Core Rank gates · one sheet per Garage system · Upgrade Shop: in-run cards, the wave each level opens and its price · Enemy Roster, Enemy Codex and Escalation: what you are fighting and how it scales to wave 100 · Counters: which enemy traits block which weapon · Weapon Spec Template: the parameters every current and future weapon should define · Community Proposals: where players log balance ideas.</t>
  </si>
  <si>
    <t xml:space="preserve">How to contribute</t>
  </si>
  <si>
    <t xml:space="preserve">Copy the workbook, test an idea in the blue cells, then log it on the Community Proposals sheet with the wave you tested it at. The team reviews proposals before each balance pass.</t>
  </si>
  <si>
    <t xml:space="preserve">Accuracy</t>
  </si>
  <si>
    <t xml:space="preserve">Figures come from the shipping 1.4.0 code. iOS and Android share the same balance tables. Where a value depends on the sector, Overclock level or power routing, the sheet notes it.</t>
  </si>
  <si>
    <t xml:space="preserve">Legend</t>
  </si>
  <si>
    <t xml:space="preserve">6</t>
  </si>
  <si>
    <t xml:space="preserve">Editable base value (blue on yellow)</t>
  </si>
  <si>
    <t xml:space="preserve">Formula: recalculates from the base values</t>
  </si>
  <si>
    <t xml:space="preserve">Green: pulls a value from another sheet</t>
  </si>
  <si>
    <t xml:space="preserve">Source: Last Radius game code v1.4.0 (game/progression/Profile.kt RunLoadout + GarageSocket)</t>
  </si>
  <si>
    <t xml:space="preserve">ARSENAL</t>
  </si>
  <si>
    <t xml:space="preserve">Every weapon at a glance: how you get it, what it costs in a run, and what blocks it</t>
  </si>
  <si>
    <t xml:space="preserve">Weapon</t>
  </si>
  <si>
    <t xml:space="preserve">Type</t>
  </si>
  <si>
    <t xml:space="preserve">How you get it</t>
  </si>
  <si>
    <t xml:space="preserve">Armory (vault salvage)</t>
  </si>
  <si>
    <t xml:space="preserve">Armory (gems)</t>
  </si>
  <si>
    <t xml:space="preserve">Cost in a run (run salvage)</t>
  </si>
  <si>
    <t xml:space="preserve">Lasts</t>
  </si>
  <si>
    <t xml:space="preserve">Max on field</t>
  </si>
  <si>
    <t xml:space="preserve">Base damage</t>
  </si>
  <si>
    <t xml:space="preserve">Blocked by</t>
  </si>
  <si>
    <t xml:space="preserve">Garage system</t>
  </si>
  <si>
    <t xml:space="preserve">What it does</t>
  </si>
  <si>
    <t xml:space="preserve">Orbital Laser (flak)</t>
  </si>
  <si>
    <t xml:space="preserve">Planet</t>
  </si>
  <si>
    <t xml:space="preserve">Starts unlocked</t>
  </si>
  <si>
    <t xml:space="preserve">-</t>
  </si>
  <si>
    <t xml:space="preserve">Free · heat</t>
  </si>
  <si>
    <t xml:space="preserve">Instant</t>
  </si>
  <si>
    <t xml:space="preserve">3 per blast (4 from L3)</t>
  </si>
  <si>
    <t xml:space="preserve">Shielded hulls · Lancer front shield</t>
  </si>
  <si>
    <t xml:space="preserve">Laser Arrays</t>
  </si>
  <si>
    <t xml:space="preserve">Tap the field to fire a flak blast. Heat builds per shot; overheating locks it while it vents.</t>
  </si>
  <si>
    <t xml:space="preserve">Missile Salvo</t>
  </si>
  <si>
    <t xml:space="preserve">Free · 7s reload</t>
  </si>
  <si>
    <t xml:space="preserve">Until impact</t>
  </si>
  <si>
    <t xml:space="preserve">3 per missile (4 from L3)</t>
  </si>
  <si>
    <t xml:space="preserve">Evasive hulls (Jammers on even waves from 16) · Sower mines</t>
  </si>
  <si>
    <t xml:space="preserve">Missile Silos</t>
  </si>
  <si>
    <t xml:space="preserve">Curved missiles that home on every hull on the field. Three laser hits prime a breach: missiles +3 for 2s.</t>
  </si>
  <si>
    <t xml:space="preserve">Pulse</t>
  </si>
  <si>
    <t xml:space="preserve">Free · 10s recharge</t>
  </si>
  <si>
    <t xml:space="preserve">Repels and damages</t>
  </si>
  <si>
    <t xml:space="preserve">Pulse Emitter</t>
  </si>
  <si>
    <t xml:space="preserve">A shockwave that clears and repels every hull inside its reach. Throws back CME fronts when timed.</t>
  </si>
  <si>
    <t xml:space="preserve">Flak Barrier</t>
  </si>
  <si>
    <t xml:space="preserve">Free · 12s cooldown</t>
  </si>
  <si>
    <t xml:space="preserve">5s</t>
  </si>
  <si>
    <t xml:space="preserve">1</t>
  </si>
  <si>
    <t xml:space="preserve">Blocks and damages</t>
  </si>
  <si>
    <t xml:space="preserve">Drag on the field to lay a barrier line.</t>
  </si>
  <si>
    <t xml:space="preserve">Parry / Slingshot</t>
  </si>
  <si>
    <t xml:space="preserve">Free</t>
  </si>
  <si>
    <t xml:space="preserve">Thrown hull hits for 2× its hull (min 3)</t>
  </si>
  <si>
    <t xml:space="preserve">Ram hulls · heavy hulls can't be parried</t>
  </si>
  <si>
    <t xml:space="preserve">Tap the shield as a hull closes to reflect it; flick to aim the throw.</t>
  </si>
  <si>
    <t xml:space="preserve">Orbital Station</t>
  </si>
  <si>
    <t xml:space="preserve">Always</t>
  </si>
  <si>
    <t xml:space="preserve">1 per shot every 0.9s</t>
  </si>
  <si>
    <t xml:space="preserve">Shielded hulls</t>
  </si>
  <si>
    <t xml:space="preserve">Fires on its own at the nearest hull. Station Overclock (shop) speeds it up.</t>
  </si>
  <si>
    <t xml:space="preserve">Tesla Tower</t>
  </si>
  <si>
    <t xml:space="preserve">Placed</t>
  </si>
  <si>
    <t xml:space="preserve">Armory or Garage L1</t>
  </si>
  <si>
    <t xml:space="preserve">Until destroyed (3 HP)</t>
  </si>
  <si>
    <t xml:space="preserve">4</t>
  </si>
  <si>
    <t xml:space="preserve">2 per arc, chains 5 hulls</t>
  </si>
  <si>
    <t xml:space="preserve">Insulated hulls</t>
  </si>
  <si>
    <t xml:space="preserve">Tesla Coils</t>
  </si>
  <si>
    <t xml:space="preserve">Placed tower that chains lightning through the swarm.</t>
  </si>
  <si>
    <t xml:space="preserve">Rotary Saws</t>
  </si>
  <si>
    <t xml:space="preserve">Deployed</t>
  </si>
  <si>
    <t xml:space="preserve">Armory</t>
  </si>
  <si>
    <t xml:space="preserve">12s</t>
  </si>
  <si>
    <t xml:space="preserve">Grinds on contact</t>
  </si>
  <si>
    <t xml:space="preserve">A hunting blade that grinds and shoves hulls.</t>
  </si>
  <si>
    <t xml:space="preserve">Gravity Well</t>
  </si>
  <si>
    <t xml:space="preserve">8s</t>
  </si>
  <si>
    <t xml:space="preserve">2</t>
  </si>
  <si>
    <t xml:space="preserve">Pulls and splits hulls</t>
  </si>
  <si>
    <t xml:space="preserve">Bosses resist</t>
  </si>
  <si>
    <t xml:space="preserve">A singularity that drags hulls in and tears them apart.</t>
  </si>
  <si>
    <t xml:space="preserve">Hellstitch</t>
  </si>
  <si>
    <t xml:space="preserve">6s sweep</t>
  </si>
  <si>
    <t xml:space="preserve">2 per tick + burn</t>
  </si>
  <si>
    <t xml:space="preserve">Emplacement whose twin flame beams sweep its side of the field.</t>
  </si>
  <si>
    <t xml:space="preserve">Aegis Net</t>
  </si>
  <si>
    <t xml:space="preserve">20s or catch of the day</t>
  </si>
  <si>
    <t xml:space="preserve">Interlocking</t>
  </si>
  <si>
    <t xml:space="preserve">1 per shock</t>
  </si>
  <si>
    <t xml:space="preserve">Bosses and warlords smash through</t>
  </si>
  <si>
    <t xml:space="preserve">Four sentinels hold an electrified net. It eats light hulls (bigger as it levels).</t>
  </si>
  <si>
    <t xml:space="preserve">Tether Buoy</t>
  </si>
  <si>
    <t xml:space="preserve">40s · holds 2s</t>
  </si>
  <si>
    <t xml:space="preserve">Throw at 1.2× speed</t>
  </si>
  <si>
    <t xml:space="preserve">Bosses</t>
  </si>
  <si>
    <t xml:space="preserve">Snags the first non-boss hull nearby and holds it for you to throw.</t>
  </si>
  <si>
    <t xml:space="preserve">Deadstick (EOS-1)</t>
  </si>
  <si>
    <t xml:space="preserve">Pilot</t>
  </si>
  <si>
    <t xml:space="preserve">11s AI · 30s cockpit</t>
  </si>
  <si>
    <t xml:space="preserve">0.6 per bolt, 10 bolts/s</t>
  </si>
  <si>
    <t xml:space="preserve">Reapers hunt it (3 hits end a flight)</t>
  </si>
  <si>
    <t xml:space="preserve">Deadstick Pilot</t>
  </si>
  <si>
    <t xml:space="preserve">A gunship that laps the field strafing hulls. Take the stick to fly it from the cockpit, with SALVO rockets.</t>
  </si>
  <si>
    <t xml:space="preserve">Apex-9 (EOS-2)</t>
  </si>
  <si>
    <t xml:space="preserve">Hunter</t>
  </si>
  <si>
    <t xml:space="preserve">14s</t>
  </si>
  <si>
    <t xml:space="preserve">5 per bite</t>
  </si>
  <si>
    <t xml:space="preserve">Reapers hunt it</t>
  </si>
  <si>
    <t xml:space="preserve">Robotic shark that stalks, lunges and bites hulls apart.</t>
  </si>
  <si>
    <t xml:space="preserve">Values are level 1 / no upgrades. See each system sheet for how they grow. Source: game/data/GameData.kt (VaultItem, BuildItem), progression/ProgressionActions.kt (gem prices), state/Ordnance.kt.</t>
  </si>
  <si>
    <t xml:space="preserve">GARAGE COSTS</t>
  </si>
  <si>
    <t xml:space="preserve">Vault salvage for every level of every system, and the Core Rank that gates it</t>
  </si>
  <si>
    <t xml:space="preserve">Cost of each level (links to each system sheet's base cost)</t>
  </si>
  <si>
    <t xml:space="preserve">Level</t>
  </si>
  <si>
    <t xml:space="preserve">Ion Shield Nodes</t>
  </si>
  <si>
    <t xml:space="preserve">Hull Plating</t>
  </si>
  <si>
    <t xml:space="preserve">Salvage Vacuum</t>
  </si>
  <si>
    <t xml:space="preserve">Total</t>
  </si>
  <si>
    <t xml:space="preserve">Locked systems (Tesla, Deadstick, Gravity Well, Hellstitch, Aegis Net) can take level 1 in the Garage or from the Armory. The Deadstick's level 1 is always its 2,200 Armory price.</t>
  </si>
  <si>
    <t xml:space="preserve">Core Rank (the level cap is Core Rank + 1, up to 10)</t>
  </si>
  <si>
    <t xml:space="preserve">Core Rank</t>
  </si>
  <si>
    <t xml:space="preserve">Title</t>
  </si>
  <si>
    <t xml:space="preserve">Cost to reach</t>
  </si>
  <si>
    <t xml:space="preserve">Total spent</t>
  </si>
  <si>
    <t xml:space="preserve">Garage level cap</t>
  </si>
  <si>
    <t xml:space="preserve">Core cost base</t>
  </si>
  <si>
    <t xml:space="preserve">OUTPOST</t>
  </si>
  <si>
    <t xml:space="preserve">Rank R costs ROUND(base × (R − 1)^1.7 ÷ 5) × 5</t>
  </si>
  <si>
    <t xml:space="preserve">COLONY</t>
  </si>
  <si>
    <t xml:space="preserve">BULWARK</t>
  </si>
  <si>
    <t xml:space="preserve">CITADEL</t>
  </si>
  <si>
    <t xml:space="preserve">FORTRESS</t>
  </si>
  <si>
    <t xml:space="preserve">STRONGHOLD</t>
  </si>
  <si>
    <t xml:space="preserve">AEGIS</t>
  </si>
  <si>
    <t xml:space="preserve">SENTINEL WORLD</t>
  </si>
  <si>
    <t xml:space="preserve">LAST RADIUS</t>
  </si>
  <si>
    <t xml:space="preserve">Grand total to max every system and the core</t>
  </si>
  <si>
    <t xml:space="preserve">Source: Last Radius game code v1.4.0 (game/progression/Profile.kt RunLoadout + GarageSocket) · CoreRank.cost</t>
  </si>
  <si>
    <t xml:space="preserve">MISSILE SILOS</t>
  </si>
  <si>
    <t xml:space="preserve">Curved missile salvos that hunt every hull on the field. Fired from the MISSILES button.</t>
  </si>
  <si>
    <t xml:space="preserve">Base values (edit the blue cells)</t>
  </si>
  <si>
    <t xml:space="preserve">Garage cost base</t>
  </si>
  <si>
    <t xml:space="preserve">Level L costs ROUND(base × 1.5 × L^1.75 ÷ 5) × 5 vault salvage</t>
  </si>
  <si>
    <t xml:space="preserve">Missiles per volley at L0</t>
  </si>
  <si>
    <t xml:space="preserve">RunLoadout.missileCount = 6 + level</t>
  </si>
  <si>
    <t xml:space="preserve">Extra missiles per level</t>
  </si>
  <si>
    <t xml:space="preserve">Reload at L0 (s)</t>
  </si>
  <si>
    <t xml:space="preserve">missileReload = 7 × (1 − 0.04 × level)</t>
  </si>
  <si>
    <t xml:space="preserve">Reload cut per level</t>
  </si>
  <si>
    <t xml:space="preserve">share of base</t>
  </si>
  <si>
    <t xml:space="preserve">Warhead damage</t>
  </si>
  <si>
    <t xml:space="preserve">3, or 4 from level 3</t>
  </si>
  <si>
    <t xml:space="preserve">Warhead damage from L3</t>
  </si>
  <si>
    <t xml:space="preserve">WARHEAD MK II</t>
  </si>
  <si>
    <t xml:space="preserve">Level table</t>
  </si>
  <si>
    <t xml:space="preserve">Tier</t>
  </si>
  <si>
    <t xml:space="preserve">Upgrade cost</t>
  </si>
  <si>
    <t xml:space="preserve">Missiles per volley</t>
  </si>
  <si>
    <t xml:space="preserve">Reload (s)</t>
  </si>
  <si>
    <t xml:space="preserve">Damage per missile</t>
  </si>
  <si>
    <t xml:space="preserve">Blast radius ×</t>
  </si>
  <si>
    <t xml:space="preserve">Volley damage</t>
  </si>
  <si>
    <t xml:space="preserve">Damage per second</t>
  </si>
  <si>
    <t xml:space="preserve">Perk unlocked</t>
  </si>
  <si>
    <t xml:space="preserve">WARHEAD MK II · missiles deal 4</t>
  </si>
  <si>
    <t xml:space="preserve">REINFORCED PAYLOADS · +1 damage while core is above 70%</t>
  </si>
  <si>
    <t xml:space="preserve">CLUSTER CHARGE · blast radius +40%</t>
  </si>
  <si>
    <t xml:space="preserve">ARMAGEDDON SALVO · every launch fires a second salvo (attuned)</t>
  </si>
  <si>
    <t xml:space="preserve">APOCALYPSE RAIN · +1 missile per 2 waves cleared, up to +12 (Legendary)</t>
  </si>
  <si>
    <t xml:space="preserve">ION SHIELD NODES</t>
  </si>
  <si>
    <t xml:space="preserve">The hex shield that absorbs impacts before they reach the core.</t>
  </si>
  <si>
    <t xml:space="preserve">Shield cells at L0</t>
  </si>
  <si>
    <t xml:space="preserve">shieldMax = 5 + level (+1 from L3) + (core − 1) ÷ 3</t>
  </si>
  <si>
    <t xml:space="preserve">Regen interval at L0 (s)</t>
  </si>
  <si>
    <t xml:space="preserve">regen = 5 × (1 − 0.06 × level)</t>
  </si>
  <si>
    <t xml:space="preserve">Regen cut per level</t>
  </si>
  <si>
    <t xml:space="preserve">1–9 · adds a cell every 3 ranks</t>
  </si>
  <si>
    <t xml:space="preserve">Shield cells</t>
  </si>
  <si>
    <t xml:space="preserve">Seconds per cell</t>
  </si>
  <si>
    <t xml:space="preserve">Cells per minute</t>
  </si>
  <si>
    <t xml:space="preserve">Full recharge (s)</t>
  </si>
  <si>
    <t xml:space="preserve">CAPACITOR BANK · +1 shield cell</t>
  </si>
  <si>
    <t xml:space="preserve">RESONANCE GRID · +1 cell per 3 Tesla Coil levels</t>
  </si>
  <si>
    <t xml:space="preserve">SHIELD SHOCK · hulls that strike the shield shock everything nearby</t>
  </si>
  <si>
    <t xml:space="preserve">OVERSHIELD · full recharge at the start of every wave (attuned)</t>
  </si>
  <si>
    <t xml:space="preserve">AEGIS PROTOCOL · a broken shield restores 3 cells once per wave (Legendary)</t>
  </si>
  <si>
    <t xml:space="preserve">Note: Sector conditions, the Atmospheric Scrubber crack and Shield Arcs power routing also change the recharge interval in a run.</t>
  </si>
  <si>
    <t xml:space="preserve">HULL PLATING</t>
  </si>
  <si>
    <t xml:space="preserve">Armor plating that decides how many hits the core can take.</t>
  </si>
  <si>
    <t xml:space="preserve">Core integrity at L0</t>
  </si>
  <si>
    <t xml:space="preserve">coreMax = 10 + 2 × level + (core − 1)</t>
  </si>
  <si>
    <t xml:space="preserve">Integrity per level</t>
  </si>
  <si>
    <t xml:space="preserve">adds 1 per rank above 1</t>
  </si>
  <si>
    <t xml:space="preserve">Core integrity</t>
  </si>
  <si>
    <t xml:space="preserve">ABLATIVE ARMOR · heavy impacts deal 1 less core damage</t>
  </si>
  <si>
    <t xml:space="preserve">REACTIVE PLATING · +1 integrity per 2 Ion Shield levels</t>
  </si>
  <si>
    <t xml:space="preserve">FIELD REPAIR · restore 1 integrity after every wave</t>
  </si>
  <si>
    <t xml:space="preserve">LAST STAND · survive one lethal hit per run (attuned)</t>
  </si>
  <si>
    <t xml:space="preserve">UNBREAKABLE · no single hit deals more than 1 (Legendary)</t>
  </si>
  <si>
    <t xml:space="preserve">TESLA COILS</t>
  </si>
  <si>
    <t xml:space="preserve">Placeable towers that chain lightning through the swarm. Up to 4 towers, 3 hit points each.</t>
  </si>
  <si>
    <t xml:space="preserve">Chain hops at L1</t>
  </si>
  <si>
    <t xml:space="preserve">teslaHops = 4 + (level + 1) ÷ 2</t>
  </si>
  <si>
    <t xml:space="preserve">Arc damage</t>
  </si>
  <si>
    <t xml:space="preserve">2, 3 from level 3, 4 at level 9 attuned</t>
  </si>
  <si>
    <t xml:space="preserve">Arc damage from L3</t>
  </si>
  <si>
    <t xml:space="preserve">HIGH VOLTAGE</t>
  </si>
  <si>
    <t xml:space="preserve">Fire interval (s)</t>
  </si>
  <si>
    <t xml:space="preserve">0.7 from level 6</t>
  </si>
  <si>
    <t xml:space="preserve">Fire interval from L6 (s)</t>
  </si>
  <si>
    <t xml:space="preserve">RAPID DISCHARGE</t>
  </si>
  <si>
    <t xml:space="preserve">Armory unlock (vault salvage)</t>
  </si>
  <si>
    <t xml:space="preserve">Armory unlock (gems)</t>
  </si>
  <si>
    <t xml:space="preserve">Build cost in a run (run salvage)</t>
  </si>
  <si>
    <t xml:space="preserve">Chain hops</t>
  </si>
  <si>
    <t xml:space="preserve">Charge time (s)</t>
  </si>
  <si>
    <t xml:space="preserve">Damage per second (one target)</t>
  </si>
  <si>
    <t xml:space="preserve">Max damage per arc chain</t>
  </si>
  <si>
    <t xml:space="preserve">HIGH VOLTAGE · arcs deal 3</t>
  </si>
  <si>
    <t xml:space="preserve">CAPACITOR FEED · +1 hop per 2 Ion Shield levels</t>
  </si>
  <si>
    <t xml:space="preserve">RAPID DISCHARGE · fires every 0.7s, charge lasts 3s</t>
  </si>
  <si>
    <t xml:space="preserve">STORM LORD · arcs deal 4 (attuned)</t>
  </si>
  <si>
    <t xml:space="preserve">LIVING STORM · the planet itself arcs into anything that closes in (Legendary)</t>
  </si>
  <si>
    <t xml:space="preserve">Note: Insulated hulls ignore Tesla arcs. Tower build cost in a run: 120 run salvage.</t>
  </si>
  <si>
    <t xml:space="preserve">LASER ARRAYS</t>
  </si>
  <si>
    <t xml:space="preserve">The planet's main weapon: tap the field to fire a flak blast.</t>
  </si>
  <si>
    <t xml:space="preserve">Blast radius at L0</t>
  </si>
  <si>
    <t xml:space="preserve">laserRadius = 1.8 × (1 + 0.06 × level)</t>
  </si>
  <si>
    <t xml:space="preserve">Radius growth per level</t>
  </si>
  <si>
    <t xml:space="preserve">Blast damage</t>
  </si>
  <si>
    <t xml:space="preserve">4 from level 3</t>
  </si>
  <si>
    <t xml:space="preserve">Heat per shot</t>
  </si>
  <si>
    <t xml:space="preserve">7 from level 6</t>
  </si>
  <si>
    <t xml:space="preserve">Cooling at L1 (heat/s)</t>
  </si>
  <si>
    <t xml:space="preserve">+5 per level to level 3</t>
  </si>
  <si>
    <t xml:space="preserve">Blast radius</t>
  </si>
  <si>
    <t xml:space="preserve">Cooling (heat/s)</t>
  </si>
  <si>
    <t xml:space="preserve">Shots from cold to overheat</t>
  </si>
  <si>
    <t xml:space="preserve">Vent time (s)</t>
  </si>
  <si>
    <t xml:space="preserve">Crit chance</t>
  </si>
  <si>
    <t xml:space="preserve">FOCUSED LENS · blast damage 4</t>
  </si>
  <si>
    <t xml:space="preserve">OVERCHARGE STRIKE · shots above 90% heat blast at double radius</t>
  </si>
  <si>
    <t xml:space="preserve">COOLANT LOOP · 35% less heat per shot</t>
  </si>
  <si>
    <t xml:space="preserve">PIERCING BEAM · burns through every hull in its path (attuned)</t>
  </si>
  <si>
    <t xml:space="preserve">SUNLANCE · Natural-20 crit chance 5% → 20% (Legendary)</t>
  </si>
  <si>
    <t xml:space="preserve">Note: Shielded hulls block laser hits. Three laser hits prime a missile breach (missiles +3 for 2s).</t>
  </si>
  <si>
    <t xml:space="preserve">SALVAGE VACUUM</t>
  </si>
  <si>
    <t xml:space="preserve">Tractor systems that pull more salvage from every wreck.</t>
  </si>
  <si>
    <t xml:space="preserve">Salvage bonus per level</t>
  </si>
  <si>
    <t xml:space="preserve">salvageMult = 1 + 0.08 × level + 0.03 × (core − 1)</t>
  </si>
  <si>
    <t xml:space="preserve">Loss recovery at L0</t>
  </si>
  <si>
    <t xml:space="preserve">Balance.recoveryRate</t>
  </si>
  <si>
    <t xml:space="preserve">Recovery per level</t>
  </si>
  <si>
    <t xml:space="preserve">capped at 90%</t>
  </si>
  <si>
    <t xml:space="preserve">Salvage multiplier</t>
  </si>
  <si>
    <t xml:space="preserve">Shard bonus ×</t>
  </si>
  <si>
    <t xml:space="preserve">Extra salvage per kill</t>
  </si>
  <si>
    <t xml:space="preserve">Run salvage banked as interest</t>
  </si>
  <si>
    <t xml:space="preserve">Salvage kept on a loss</t>
  </si>
  <si>
    <t xml:space="preserve">SHARD HARVESTER · Shield Shards bonus doubled</t>
  </si>
  <si>
    <t xml:space="preserve">SALVAGE NETWORK · +5% salvage per Core rank</t>
  </si>
  <si>
    <t xml:space="preserve">TRACTOR BEAM · +1 salvage from every kill</t>
  </si>
  <si>
    <t xml:space="preserve">VAULT INTEREST · +15% of run salvage banked at game over (attuned)</t>
  </si>
  <si>
    <t xml:space="preserve">MIDAS FIELD · all salvage ×1.25, interest 25% (Legendary)</t>
  </si>
  <si>
    <t xml:space="preserve">DEADSTICK PILOT</t>
  </si>
  <si>
    <t xml:space="preserve">A lone pilot (EOS-1) who laps the field strafing hulls with rapid lasers. Take the stick to fly it yourself from the cockpit.</t>
  </si>
  <si>
    <t xml:space="preserve">Flight time at L1 (s)</t>
  </si>
  <si>
    <t xml:space="preserve">deadstickFlight = 10 + level</t>
  </si>
  <si>
    <t xml:space="preserve">Cockpit time at L1 (s)</t>
  </si>
  <si>
    <t xml:space="preserve">+3s per level</t>
  </si>
  <si>
    <t xml:space="preserve">Bolt damage at L1</t>
  </si>
  <si>
    <t xml:space="preserve">0.5 + 0.1 × level, ×1.25 from level 3</t>
  </si>
  <si>
    <t xml:space="preserve">Seconds between bolts</t>
  </si>
  <si>
    <t xml:space="preserve">rides the gun-loop beat</t>
  </si>
  <si>
    <t xml:space="preserve">AI flight time (s)</t>
  </si>
  <si>
    <t xml:space="preserve">Cockpit flight time (s)</t>
  </si>
  <si>
    <t xml:space="preserve">Damage per bolt</t>
  </si>
  <si>
    <t xml:space="preserve">SALVO rockets</t>
  </si>
  <si>
    <t xml:space="preserve">TWIN-LINKED · bolt damage +25%</t>
  </si>
  <si>
    <t xml:space="preserve">WINGMAN DOCTRINE · +1s flight per 2 Laser Array levels</t>
  </si>
  <si>
    <t xml:space="preserve">AFTERBURNER · flies 30% faster, acquires 30% farther</t>
  </si>
  <si>
    <t xml:space="preserve">ACE PILOT · every kill adds 1s, up to +8s (attuned)</t>
  </si>
  <si>
    <t xml:space="preserve">DEADEYE · twin guns engage two hulls at once (Legendary)</t>
  </si>
  <si>
    <t xml:space="preserve">Note: Level 1 is hired in the Armory for 2,200 vault salvage (or 650 gems). Reapers hunt it: 3 hits end a flight.</t>
  </si>
  <si>
    <t xml:space="preserve">PULSE EMITTER</t>
  </si>
  <si>
    <t xml:space="preserve">The planet's shockwave: clears and repels every hull that closes in.</t>
  </si>
  <si>
    <t xml:space="preserve">Recharge at L0 (s)</t>
  </si>
  <si>
    <t xml:space="preserve">pulseRecharge = 10 × (1 − 0.04 × level)</t>
  </si>
  <si>
    <t xml:space="preserve">Recharge cut per level</t>
  </si>
  <si>
    <t xml:space="preserve">Reach</t>
  </si>
  <si>
    <t xml:space="preserve">7.5 from level 3</t>
  </si>
  <si>
    <t xml:space="preserve">Recharge (s)</t>
  </si>
  <si>
    <t xml:space="preserve">Pulses per minute</t>
  </si>
  <si>
    <t xml:space="preserve">WIDE BAND · reach +15%</t>
  </si>
  <si>
    <t xml:space="preserve">SHIELD SIPHON · each Pulse restores 1 cell per 3 Ion Shield levels</t>
  </si>
  <si>
    <t xml:space="preserve">CAPACITOR SURGE · every 4 kills refund 1s, up to 4s</t>
  </si>
  <si>
    <t xml:space="preserve">STATIC FIELD · repelled hulls stay charged for Tesla arcs (attuned)</t>
  </si>
  <si>
    <t xml:space="preserve">NOVA · double Pulse damage on capital hulls and warlords (Legendary)</t>
  </si>
  <si>
    <t xml:space="preserve">Note: A Pulse timed as a CME front hits the shield throws the front back.</t>
  </si>
  <si>
    <t xml:space="preserve">GRAVITY WELL</t>
  </si>
  <si>
    <t xml:space="preserve">Projects singularities that drag hulls in and tear them apart.</t>
  </si>
  <si>
    <t xml:space="preserve">Well time at L1 (s)</t>
  </si>
  <si>
    <t xml:space="preserve">wellTime = 8 + 0.5 × (level − 1)</t>
  </si>
  <si>
    <t xml:space="preserve">Field radius</t>
  </si>
  <si>
    <t xml:space="preserve">×1.2 from level 3</t>
  </si>
  <si>
    <t xml:space="preserve">Pull strength at L1</t>
  </si>
  <si>
    <t xml:space="preserve">+5% per level</t>
  </si>
  <si>
    <t xml:space="preserve">Well time (s)</t>
  </si>
  <si>
    <t xml:space="preserve">Pull strength</t>
  </si>
  <si>
    <t xml:space="preserve">Wells at once</t>
  </si>
  <si>
    <t xml:space="preserve">EVENT HORIZON · field radius +20%</t>
  </si>
  <si>
    <t xml:space="preserve">ORDNANCE LENS · +1s per 2 Missile Silo levels</t>
  </si>
  <si>
    <t xml:space="preserve">TWIN SINGULARITY · three wells at once</t>
  </si>
  <si>
    <t xml:space="preserve">COLLAPSE · an expiring well deals 6 to every hull inside (attuned)</t>
  </si>
  <si>
    <t xml:space="preserve">EVENT CASCADE · every kill extends it 1s, up to +6s (Legendary)</t>
  </si>
  <si>
    <t xml:space="preserve">HELLSTITCH</t>
  </si>
  <si>
    <t xml:space="preserve">A flame emplacement whose twin beams sweep a whole side of the field.</t>
  </si>
  <si>
    <t xml:space="preserve">Sweep time at L1 (s)</t>
  </si>
  <si>
    <t xml:space="preserve">hellTime = 6 + 0.4 × (level − 1)</t>
  </si>
  <si>
    <t xml:space="preserve">Beam length</t>
  </si>
  <si>
    <t xml:space="preserve">×1.3 from level 6</t>
  </si>
  <si>
    <t xml:space="preserve">Damage per tick</t>
  </si>
  <si>
    <t xml:space="preserve">3 from level 3</t>
  </si>
  <si>
    <t xml:space="preserve">Sweep time (s)</t>
  </si>
  <si>
    <t xml:space="preserve">NAPALM CORE · 3 damage per tick</t>
  </si>
  <si>
    <t xml:space="preserve">THERMAL LINK · +1s per 2 Laser Array levels</t>
  </si>
  <si>
    <t xml:space="preserve">LONG STITCH · beam length +30%</t>
  </si>
  <si>
    <t xml:space="preserve">INFERNO · burning hulls take double burn (attuned)</t>
  </si>
  <si>
    <t xml:space="preserve">PHOENIX LINE · the beams sweep back once (Legendary)</t>
  </si>
  <si>
    <t xml:space="preserve">AEGIS NET</t>
  </si>
  <si>
    <t xml:space="preserve">Four sentinels hold an electrified net where you place it; side-by-side nets interlock. Bosses smash through.</t>
  </si>
  <si>
    <t xml:space="preserve">Catch of the day at L1</t>
  </si>
  <si>
    <t xml:space="preserve">netCapacity = 3 + (level − 1) ÷ 2</t>
  </si>
  <si>
    <t xml:space="preserve">Net width</t>
  </si>
  <si>
    <t xml:space="preserve">×1.25 from level 6</t>
  </si>
  <si>
    <t xml:space="preserve">Shock interval at L1 (s)</t>
  </si>
  <si>
    <t xml:space="preserve">−0.04s per level, floor 0.4s</t>
  </si>
  <si>
    <t xml:space="preserve">Catch of the day (hulls)</t>
  </si>
  <si>
    <t xml:space="preserve">Heaviest hull it holds</t>
  </si>
  <si>
    <t xml:space="preserve">Shock interval (s)</t>
  </si>
  <si>
    <t xml:space="preserve">Damage per shock</t>
  </si>
  <si>
    <t xml:space="preserve">BARBED MESH · stuck hulls take 2 per shock</t>
  </si>
  <si>
    <t xml:space="preserve">TESLA MESH · shocks 0.05s faster per 2 Tesla levels</t>
  </si>
  <si>
    <t xml:space="preserve">WIDE CAST · nets 25% wider</t>
  </si>
  <si>
    <t xml:space="preserve">FEEDBACK LOOP · every catch arcs 3 into the nearest hull (attuned)</t>
  </si>
  <si>
    <t xml:space="preserve">SPIDER'S LARDER · catch of the day doubles (Legendary)</t>
  </si>
  <si>
    <t xml:space="preserve">Note: A net lasts 20s or until it has eaten its catch of the day. Bosses and warlords smash it.</t>
  </si>
  <si>
    <t xml:space="preserve">UPGRADE SHOP (IN-RUN)</t>
  </si>
  <si>
    <t xml:space="preserve">Cards bought with run salvage at Wave Secured. Each level opens at a set wave; prices follow measured income.</t>
  </si>
  <si>
    <t xml:space="preserve">Income model</t>
  </si>
  <si>
    <t xml:space="preserve">Income per wave: base</t>
  </si>
  <si>
    <t xml:space="preserve">Balance.waveIncome(w) = 40 + 5.5 × w (measured in the balance simulator)</t>
  </si>
  <si>
    <t xml:space="preserve">Income per wave: growth</t>
  </si>
  <si>
    <t xml:space="preserve">Price rule</t>
  </si>
  <si>
    <t xml:space="preserve">Price of level L = ROUND(base price × income(opening wave) ÷ income(1) ÷ 5) × 5. Level L opens at wave offset + INT((40k + 6k² + 5) ÷ 10), k = L − 1.</t>
  </si>
  <si>
    <t xml:space="preserve">Card</t>
  </si>
  <si>
    <t xml:space="preserve">Effect per level</t>
  </si>
  <si>
    <t xml:space="preserve">Base price</t>
  </si>
  <si>
    <t xml:space="preserve">First wave</t>
  </si>
  <si>
    <t xml:space="preserve">Max level</t>
  </si>
  <si>
    <t xml:space="preserve">MISSILE BARRAGE</t>
  </si>
  <si>
    <t xml:space="preserve">+1 missile per volley</t>
  </si>
  <si>
    <t xml:space="preserve">RAPID RELOAD</t>
  </si>
  <si>
    <t xml:space="preserve">Missile reload +15% speed</t>
  </si>
  <si>
    <t xml:space="preserve">WIDE FLAK</t>
  </si>
  <si>
    <t xml:space="preserve">Flak blast radius +10%</t>
  </si>
  <si>
    <t xml:space="preserve">HEAVY FLAK</t>
  </si>
  <si>
    <t xml:space="preserve">Flak damage +1</t>
  </si>
  <si>
    <t xml:space="preserve">STATION OVERCLOCK</t>
  </si>
  <si>
    <t xml:space="preserve">Station fire rate +15%</t>
  </si>
  <si>
    <t xml:space="preserve">SHIELD CAPACITOR</t>
  </si>
  <si>
    <t xml:space="preserve">+1 shield cell</t>
  </si>
  <si>
    <t xml:space="preserve">SHIELD REGEN</t>
  </si>
  <si>
    <t xml:space="preserve">Shield recharge +15% speed</t>
  </si>
  <si>
    <t xml:space="preserve">PULSE CAPACITOR</t>
  </si>
  <si>
    <t xml:space="preserve">Pulse recharge +15% speed</t>
  </si>
  <si>
    <t xml:space="preserve">+2 core integrity</t>
  </si>
  <si>
    <t xml:space="preserve">Wave each level opens</t>
  </si>
  <si>
    <t xml:space="preserve">Missile Barrage</t>
  </si>
  <si>
    <t xml:space="preserve">Rapid Reload</t>
  </si>
  <si>
    <t xml:space="preserve">Wide Flak</t>
  </si>
  <si>
    <t xml:space="preserve">Heavy Flak</t>
  </si>
  <si>
    <t xml:space="preserve">Station Overclock</t>
  </si>
  <si>
    <t xml:space="preserve">Shield Capacitor</t>
  </si>
  <si>
    <t xml:space="preserve">Shield Regen</t>
  </si>
  <si>
    <t xml:space="preserve">Pulse Capacitor</t>
  </si>
  <si>
    <t xml:space="preserve">Price of each level (run salvage)</t>
  </si>
  <si>
    <t xml:space="preserve">Rate cards (reload, regen, recharge, station) run at 1 + 0.15 × level of base speed. Fusions: Shatter Wave, Singularity Cluster, Thermal Lance and Arc Battery are drafted once each shop parent reaches level 3, one per run, priced at 1.5× the dearer parent's current price.</t>
  </si>
  <si>
    <t xml:space="preserve">Source: game/systems/Balance.kt (upgradeOffset, upgradeOpens, upgradePrice, waveIncome), data/GameData.kt (Upgrade).</t>
  </si>
  <si>
    <t xml:space="preserve">ENEMY ESCALATION</t>
  </si>
  <si>
    <t xml:space="preserve">How the swarm scales from wave 1 to 100 (Overclock 0). Every curve keeps climbing; there is no wave where it stops.</t>
  </si>
  <si>
    <t xml:space="preserve">Threat wave = wave + 6 × Overclock level. Formulas from game/systems/Balance.kt.</t>
  </si>
  <si>
    <t xml:space="preserve">Wave</t>
  </si>
  <si>
    <t xml:space="preserve">Speed ×</t>
  </si>
  <si>
    <t xml:space="preserve">Extra HP (heavy hulls)</t>
  </si>
  <si>
    <t xml:space="preserve">Extra HP (light hulls)</t>
  </si>
  <si>
    <t xml:space="preserve">Extra impact (3+ HP hulls)</t>
  </si>
  <si>
    <t xml:space="preserve">Extra impact (light hulls)</t>
  </si>
  <si>
    <t xml:space="preserve">Seconds between spawns</t>
  </si>
  <si>
    <t xml:space="preserve">Hulls per spawn</t>
  </si>
  <si>
    <t xml:space="preserve">Share with counter-traits</t>
  </si>
  <si>
    <t xml:space="preserve">Missile dodge chance</t>
  </si>
  <si>
    <t xml:space="preserve">Shield regen slowdown ×</t>
  </si>
  <si>
    <t xml:space="preserve">Lancers</t>
  </si>
  <si>
    <t xml:space="preserve">Heralds</t>
  </si>
  <si>
    <t xml:space="preserve">Reapers</t>
  </si>
  <si>
    <t xml:space="preserve">Scramblers</t>
  </si>
  <si>
    <t xml:space="preserve">Sowers</t>
  </si>
  <si>
    <t xml:space="preserve">Lancer beam (shield cells)</t>
  </si>
  <si>
    <t xml:space="preserve">Repair +2 price</t>
  </si>
  <si>
    <t xml:space="preserve">Shield recharge price</t>
  </si>
  <si>
    <t xml:space="preserve">Expected income per wave</t>
  </si>
  <si>
    <t xml:space="preserve">ENEMY ROSTER</t>
  </si>
  <si>
    <t xml:space="preserve">Every hull: base stats, when it debuts, and its hull points at deeper waves</t>
  </si>
  <si>
    <t xml:space="preserve">Check a wave:</t>
  </si>
  <si>
    <t xml:space="preserve">← type any wave to see hull points and speed there</t>
  </si>
  <si>
    <t xml:space="preserve">Hull</t>
  </si>
  <si>
    <t xml:space="preserve">Base HP</t>
  </si>
  <si>
    <t xml:space="preserve">Speed</t>
  </si>
  <si>
    <t xml:space="preserve">Size (radius)</t>
  </si>
  <si>
    <t xml:space="preserve">Core damage</t>
  </si>
  <si>
    <t xml:space="preserve">Salvage value</t>
  </si>
  <si>
    <t xml:space="preserve">Debut wave</t>
  </si>
  <si>
    <t xml:space="preserve">Threat budget</t>
  </si>
  <si>
    <t xml:space="preserve">Aegis Net class</t>
  </si>
  <si>
    <t xml:space="preserve">Parryable</t>
  </si>
  <si>
    <t xml:space="preserve">Behaviour</t>
  </si>
  <si>
    <t xml:space="preserve">HP at chosen wave</t>
  </si>
  <si>
    <t xml:space="preserve">Speed at chosen wave</t>
  </si>
  <si>
    <t xml:space="preserve">Score</t>
  </si>
  <si>
    <t xml:space="preserve">DRONE</t>
  </si>
  <si>
    <t xml:space="preserve">Light</t>
  </si>
  <si>
    <t xml:space="preserve">Yes</t>
  </si>
  <si>
    <t xml:space="preserve">No</t>
  </si>
  <si>
    <t xml:space="preserve">DART</t>
  </si>
  <si>
    <t xml:space="preserve">Kamikaze</t>
  </si>
  <si>
    <t xml:space="preserve">SPLITTER</t>
  </si>
  <si>
    <t xml:space="preserve">Medium</t>
  </si>
  <si>
    <t xml:space="preserve">WARDEN</t>
  </si>
  <si>
    <t xml:space="preserve">BASTION (boss)</t>
  </si>
  <si>
    <t xml:space="preserve">Never</t>
  </si>
  <si>
    <t xml:space="preserve">SHRIKE</t>
  </si>
  <si>
    <t xml:space="preserve">MAULER</t>
  </si>
  <si>
    <t xml:space="preserve">HALO</t>
  </si>
  <si>
    <t xml:space="preserve">CARRIER</t>
  </si>
  <si>
    <t xml:space="preserve">Heavy</t>
  </si>
  <si>
    <t xml:space="preserve">MOTHERSHIP (boss)</t>
  </si>
  <si>
    <t xml:space="preserve">LEECH</t>
  </si>
  <si>
    <t xml:space="preserve">HAMMER</t>
  </si>
  <si>
    <t xml:space="preserve">LANCER</t>
  </si>
  <si>
    <t xml:space="preserve">HERALD</t>
  </si>
  <si>
    <t xml:space="preserve">REAPER</t>
  </si>
  <si>
    <t xml:space="preserve">SCRAMBLER</t>
  </si>
  <si>
    <t xml:space="preserve">SOWER</t>
  </si>
  <si>
    <t xml:space="preserve">Specials: Lancer parks at the edge behind a front shield (hit it from the side for ×3). Leech drains the shield. Herald speeds up its escort. Reaper hunts the Deadstick and Apex-9. Scrambler fires an EMP. Sower lays mines that swat missiles.</t>
  </si>
  <si>
    <t xml:space="preserve">Source: game/data/GameData.kt (EnemyType), systems/Balance.kt (hpBonus, speed). Speed at wave excludes traits, sector conditions and Herald auras.</t>
  </si>
  <si>
    <t xml:space="preserve">ENEMY CODEX</t>
  </si>
  <si>
    <t xml:space="preserve">Every hull: its role, how it spawns, the traits it can carry, how the game engine flies it, how to beat it, and how its hull points grow.</t>
  </si>
  <si>
    <t xml:space="preserve">Role</t>
  </si>
  <si>
    <t xml:space="preserve">Debut</t>
  </si>
  <si>
    <t xml:space="preserve">Core dmg</t>
  </si>
  <si>
    <t xml:space="preserve">Salvage</t>
  </si>
  <si>
    <t xml:space="preserve">Paid per kill</t>
  </si>
  <si>
    <t xml:space="preserve">How it spawns</t>
  </si>
  <si>
    <t xml:space="preserve">Traits it can carry</t>
  </si>
  <si>
    <t xml:space="preserve">How the engine flies it</t>
  </si>
  <si>
    <t xml:space="preserve">How to beat it</t>
  </si>
  <si>
    <t xml:space="preserve">Drone</t>
  </si>
  <si>
    <t xml:space="preserve">Swarm</t>
  </si>
  <si>
    <t xml:space="preserve">Threat Director budget</t>
  </si>
  <si>
    <t xml:space="preserve">Shielded, Insulated, Evasive, Ram</t>
  </si>
  <si>
    <t xml:space="preserve">Flies straight at the planet. On spawn, 30% of standard hulls pick your nearest Tesla tower or the Orbital Station as their target instead of the core. Motherships, warlords and Splitter wrecks release Drones that scatter for 0.55s, then turn in over 0.65s.</t>
  </si>
  <si>
    <t xml:space="preserve">Flak or one missile; parry it back into the swarm.</t>
  </si>
  <si>
    <t xml:space="preserve">Dart</t>
  </si>
  <si>
    <t xml:space="preserve">Insulated, Evasive, Ram</t>
  </si>
  <si>
    <t xml:space="preserve">Kamikaze run: it closes to a trigger range of 6–8.5 units, strafes sideways at 1.15× speed for 1.1–1.9s (that window shrinks every wave, toward ×0.35), then dives at 2.7× speed (a harder dive every wave, toward +30%). From wave 12 it dives at once when your laser overheats or your silos are reloading. From wave 16, 30% fly in disguised: two flickering decoys split off beside it, and 1.2s later the real hull dashes in at 2.7× speed. Decoys pop in one hit. Steers around Dilation Fog.</t>
  </si>
  <si>
    <t xml:space="preserve">Flak it while it strafes, before the dive; keep heat and missiles in reserve from wave 12.</t>
  </si>
  <si>
    <t xml:space="preserve">Splitter</t>
  </si>
  <si>
    <t xml:space="preserve">Shielded, Insulated, Evasive, Splitter</t>
  </si>
  <si>
    <t xml:space="preserve">Flies straight at the planet. With the Splitter trait it bursts into 3 mini Drones when destroyed. On spawn, 30% of standard hulls pick your nearest Tesla tower or the Orbital Station as their target instead of the core.</t>
  </si>
  <si>
    <t xml:space="preserve">Missiles or Pulse catch the 3 fragments together.</t>
  </si>
  <si>
    <t xml:space="preserve">Bulwark</t>
  </si>
  <si>
    <t xml:space="preserve">Shielded, Insulated, Ram, Splitter</t>
  </si>
  <si>
    <t xml:space="preserve">Slow, armoured hull that flies straight in. Too heavy to parry. Ploughs straight through Dilation Fog at full speed. On spawn, 30% of standard hulls pick your nearest Tesla tower or the Orbital Station as their target instead of the core.</t>
  </si>
  <si>
    <t xml:space="preserve">Missiles and Tesla; don't try to parry it.</t>
  </si>
  <si>
    <t xml:space="preserve">Warden</t>
  </si>
  <si>
    <t xml:space="preserve">Escort</t>
  </si>
  <si>
    <t xml:space="preserve">Shielded, Insulated, Jammer, Splitter</t>
  </si>
  <si>
    <t xml:space="preserve">Flies straight at the planet. With the Jammer trait it jams missiles aimed at hulls within 3.5 units. On spawn, 30% of standard hulls pick your nearest Tesla tower or the Orbital Station as their target instead of the core.</t>
  </si>
  <si>
    <t xml:space="preserve">Missiles if it's Shielded; laser if it's a Jammer.</t>
  </si>
  <si>
    <t xml:space="preserve">Carrier</t>
  </si>
  <si>
    <t xml:space="preserve">Shielded, Insulated, Jammer</t>
  </si>
  <si>
    <t xml:space="preserve">Big, slow hull that hits the core for 2. Too heavy to parry; shows as a large blip on the Threat Radar. With the Jammer trait it jams missiles near it. A Carrier caught on a Tether Buoy becomes a wrecking ball when thrown.</t>
  </si>
  <si>
    <t xml:space="preserve">Missiles and Tesla, or throw it with a Tether Buoy.</t>
  </si>
  <si>
    <t xml:space="preserve">Mauler</t>
  </si>
  <si>
    <t xml:space="preserve">Insulated, Ram, Splitter</t>
  </si>
  <si>
    <t xml:space="preserve">Kamikaze run: it closes to a trigger range of 6–8.5 units, strafes sideways at 1.15× speed for 1.1–1.9s (that window shrinks every wave, toward ×0.35), then dives at 2.7× speed (a harder dive every wave, toward +30%). From wave 12 it dives at once when your laser overheats or your silos are reloading. Medium hull with 3 hull points: the toughest kamikaze.</t>
  </si>
  <si>
    <t xml:space="preserve">Flak during its strafe; it takes three hits.</t>
  </si>
  <si>
    <t xml:space="preserve">Shrike</t>
  </si>
  <si>
    <t xml:space="preserve">Same as Dart: flak the strafe.</t>
  </si>
  <si>
    <t xml:space="preserve">Halo</t>
  </si>
  <si>
    <t xml:space="preserve">Shielded, Insulated, Evasive, Jammer, Splitter</t>
  </si>
  <si>
    <t xml:space="preserve">Flies straight at the planet. Can carry Shielded, Evasive, Jammer or Splitter: the most flexible counter-hull. On spawn, 30% of standard hulls pick your nearest Tesla tower or the Orbital Station as their target instead of the core.</t>
  </si>
  <si>
    <t xml:space="preserve">Read its trait first, then switch weapon.</t>
  </si>
  <si>
    <t xml:space="preserve">Bastion</t>
  </si>
  <si>
    <t xml:space="preserve">Boss</t>
  </si>
  <si>
    <t xml:space="preserve">Sector boss</t>
  </si>
  <si>
    <t xml:space="preserve">Point Defense</t>
  </si>
  <si>
    <t xml:space="preserve">Sector boss. Three phases, at full hull, two-thirds and one-third. Each attack: a 1.5s warning (RAM IN), a 1s ram at 2.2× speed (+0.3× per phase), then its core is exposed for 2s at 0.45× speed and every hit deals +2. Rams again every 10s, minus 2s per phase. With Point Defense it shoots down missiles. Can't be parried or netted; resists Gravity Wells.</t>
  </si>
  <si>
    <t xml:space="preserve">Prime a missile breach (3 laser hits), then focus fire while its core is exposed.</t>
  </si>
  <si>
    <t xml:space="preserve">Hammer</t>
  </si>
  <si>
    <t xml:space="preserve">Heavy ram</t>
  </si>
  <si>
    <t xml:space="preserve">Insulated</t>
  </si>
  <si>
    <t xml:space="preserve">Heavy ram that hits the core for 2. Too heavy to parry. Never sidesteps missiles, and ploughs through Dilation Fog. From wave 16, 30% fly in disguised: two flickering decoys split off beside it, and 1.2s later the real hull dashes in at 2.7× speed. Decoys pop in one hit.</t>
  </si>
  <si>
    <t xml:space="preserve">Missiles (it never dodges) and Gravity Wells.</t>
  </si>
  <si>
    <t xml:space="preserve">Mothership</t>
  </si>
  <si>
    <t xml:space="preserve">Sector boss. Its brood screen stays up on approach and holds until its spine bays open. Each attack launches 4 Drones per phase out of its bays; it launches again every 7s minus 1s per phase. Three phases, at full hull, two-thirds and one-third. Can't be parried or netted; resists Gravity Wells.</t>
  </si>
  <si>
    <t xml:space="preserve">Prime missile breaches; Pulse or flak the brood as it launches.</t>
  </si>
  <si>
    <t xml:space="preserve">Lancer</t>
  </si>
  <si>
    <t xml:space="preserve">Edge gunship</t>
  </si>
  <si>
    <t xml:space="preserve">Every wave on top of the swarm</t>
  </si>
  <si>
    <t xml:space="preserve">None</t>
  </si>
  <si>
    <t xml:space="preserve">Parks 78% of the way to a screen edge, in the middle of a side, swaying ±0.3 radians clear of the HUD. A front deflector blocks laser and missiles within ±65° of its nose; hits from the side or rear deal ×3. A quarter of the missiles aimed at it swing wide to hit the flank. Charges (0.9s, shortening toward 0.55s), then beams the shield every 3.8s (tightening toward 2.0s): 5 volleys, 4 from wave 30, then it dives at 2.4× speed. Each beam burns 1 shield cell (2 from wave 34, 3 from wave 60, +1 every 30 waves after) and stops shield recharge for 2.5s. From wave 26 Lancers fire together.</t>
  </si>
  <si>
    <t xml:space="preserve">Hit it from the side or rear; flanking missiles and the Deadstick get round the deflector.</t>
  </si>
  <si>
    <t xml:space="preserve">Leech</t>
  </si>
  <si>
    <t xml:space="preserve">Special</t>
  </si>
  <si>
    <t xml:space="preserve">Latches onto the shield (6 at most; extras strike the shield instead) and crawls around it. Drains one shield cell every 2.2s. Once the shield is down it bores into the core: 1 integrity every 4s. Burn it off with the laser, the Orbital Station or a Pulse.</t>
  </si>
  <si>
    <t xml:space="preserve">Laser, Orbital Station or Pulse burn it off the shield.</t>
  </si>
  <si>
    <t xml:space="preserve">Herald</t>
  </si>
  <si>
    <t xml:space="preserve">Command ship</t>
  </si>
  <si>
    <t xml:space="preserve">Command ship. Holds station 7.2 units out and circles. Hulls inside its 4.5-unit aura fly 1.25× faster. Every 6s it signals the kamikazes and Reapers in its aura to dive together. Commits to its own dive after 35s on station. Killing it freezes its escort for 1.2s. Too heavy to parry.</t>
  </si>
  <si>
    <t xml:space="preserve">Kill it first: its escort freezes and the synchronized dives stop.</t>
  </si>
  <si>
    <t xml:space="preserve">Reaper</t>
  </si>
  <si>
    <t xml:space="preserve">Interceptor</t>
  </si>
  <si>
    <t xml:space="preserve">Interceptor that hunts your Deadstick and Apex-9: it closes to 1.3 units and fires every 0.8s. Each hit costs the Deadstick 3s of flight; 3 hits end a flight (and send the Apex-9 home). With nothing to hunt it flies a kamikaze run like a Dart.</t>
  </si>
  <si>
    <t xml:space="preserve">Shoot it before launching the Deadstick or Apex-9.</t>
  </si>
  <si>
    <t xml:space="preserve">Scrambler</t>
  </si>
  <si>
    <t xml:space="preserve">Heavy EMP hull that hits the core for 2. Too heavy to parry. Reaching the shield, or dying within 3.8 units of the planet, fires an EMP: missiles in flight are destroyed, towers, station and silos go offline for 4s, laser heat jumps to at least 80%, and the Pulse recharge gains 2s. Kill it far out.</t>
  </si>
  <si>
    <t xml:space="preserve">Kill it far from the planet so its EMP misses your towers.</t>
  </si>
  <si>
    <t xml:space="preserve">Sower</t>
  </si>
  <si>
    <t xml:space="preserve">Minelayer</t>
  </si>
  <si>
    <t xml:space="preserve">Minelayer: crosses the field at radius 5.6 dropping 6 mines, one every 1.4s (14 mines on the field at most). Mines drift toward the shield at 0.22 units/s and hit it for 2. A missile passing within 0.55 sets one off (0.9 blast, 2 damage), so mines swat your salvos. Laser the mines, or Pulse them. A mine burns out after 40s. Ploughs through Dilation Fog.</t>
  </si>
  <si>
    <t xml:space="preserve">Laser the mines before your salvo flies through them.</t>
  </si>
  <si>
    <t xml:space="preserve">Hull points by wave (base HP + the wave's armour bonus; blank before debut)</t>
  </si>
  <si>
    <t xml:space="preserve">Source: game/data/GameData.kt (EnemyType, Trait), systems/Balance.kt (hpBonus, specials, Leech/Herald/Reaper/Scrambler/Sower/Lancer constants), state/GameSession.kt (movement, kamikaze runs, disguises, EMP, boss cycle). Overclock 0.</t>
  </si>
  <si>
    <t xml:space="preserve">COUNTERS</t>
  </si>
  <si>
    <t xml:space="preserve">The Threat Director fits counter-traits against the weapons you lean on. Which trait blocks which weapon:</t>
  </si>
  <si>
    <t xml:space="preserve">Trait</t>
  </si>
  <si>
    <t xml:space="preserve">Fits these hulls</t>
  </si>
  <si>
    <t xml:space="preserve">Laser</t>
  </si>
  <si>
    <t xml:space="preserve">Station</t>
  </si>
  <si>
    <t xml:space="preserve">Missiles</t>
  </si>
  <si>
    <t xml:space="preserve">Tesla</t>
  </si>
  <si>
    <t xml:space="preserve">Parry</t>
  </si>
  <si>
    <t xml:space="preserve">Flak barrier</t>
  </si>
  <si>
    <t xml:space="preserve">SHIELDED</t>
  </si>
  <si>
    <t xml:space="preserve">Drone, Splitter, Bulwark, Warden, Carrier, Halo</t>
  </si>
  <si>
    <t xml:space="preserve">Blocks</t>
  </si>
  <si>
    <t xml:space="preserve">INSULATED</t>
  </si>
  <si>
    <t xml:space="preserve">Every hull except Bastion, Lancer, Herald, Scrambler</t>
  </si>
  <si>
    <t xml:space="preserve">EVASIVE</t>
  </si>
  <si>
    <t xml:space="preserve">Drone, Dart, Shrike, Halo, Splitter</t>
  </si>
  <si>
    <t xml:space="preserve">Dodges</t>
  </si>
  <si>
    <t xml:space="preserve">JAMMER</t>
  </si>
  <si>
    <t xml:space="preserve">Halo, Warden, Carrier · jams missiles within 3.5</t>
  </si>
  <si>
    <t xml:space="preserve">Jams (even waves from 16)</t>
  </si>
  <si>
    <t xml:space="preserve">RAM</t>
  </si>
  <si>
    <t xml:space="preserve">Drone, Dart, Shrike, Mauler, Bulwark</t>
  </si>
  <si>
    <t xml:space="preserve">Can't be parried</t>
  </si>
  <si>
    <t xml:space="preserve">Splitter, Warden, Bulwark, Halo, Mauler</t>
  </si>
  <si>
    <t xml:space="preserve">Splits on death</t>
  </si>
  <si>
    <t xml:space="preserve">POINT DEFENSE</t>
  </si>
  <si>
    <t xml:space="preserve">Shoots down missiles</t>
  </si>
  <si>
    <t xml:space="preserve">LANCER FRONT SHIELD</t>
  </si>
  <si>
    <t xml:space="preserve">Lancer (±65° of its nose)</t>
  </si>
  <si>
    <t xml:space="preserve">Blocks from the front</t>
  </si>
  <si>
    <t xml:space="preserve">The Director reads your damage mix: lean on the laser and more Shielded hulls arrive; lean on missiles and Evasive (or Jammer) hulls arrive; lean on Tesla and Insulated hulls arrive; parry a lot and Rams arrive. Share of hulls with traits climbs from 14% at wave 6 toward 69%.</t>
  </si>
  <si>
    <t xml:space="preserve">Source: game/data/GameData.kt (Trait.fits, Trait.counter), systems/Balance.kt (traitFraction, LANCER_SHIELD_ARC).</t>
  </si>
  <si>
    <t xml:space="preserve">WEAPON SPEC TEMPLATE</t>
  </si>
  <si>
    <t xml:space="preserve">The parameters every current and future weapon should define. Filled in for today's arsenal; the last column is blank for a new weapon proposal.</t>
  </si>
  <si>
    <t xml:space="preserve">Group</t>
  </si>
  <si>
    <t xml:space="preserve">Parameter</t>
  </si>
  <si>
    <t xml:space="preserve">NEW WEAPON (proposal)</t>
  </si>
  <si>
    <t xml:space="preserve">Identity</t>
  </si>
  <si>
    <t xml:space="preserve">Type (planet / placed / deployed / pilot / hunter)</t>
  </si>
  <si>
    <t xml:space="preserve">Access</t>
  </si>
  <si>
    <t xml:space="preserve">250</t>
  </si>
  <si>
    <t xml:space="preserve">900</t>
  </si>
  <si>
    <t xml:space="preserve">3,500</t>
  </si>
  <si>
    <t xml:space="preserve">1,400</t>
  </si>
  <si>
    <t xml:space="preserve">2,200</t>
  </si>
  <si>
    <t xml:space="preserve">4,500</t>
  </si>
  <si>
    <t xml:space="preserve">1,800</t>
  </si>
  <si>
    <t xml:space="preserve">75</t>
  </si>
  <si>
    <t xml:space="preserve">950</t>
  </si>
  <si>
    <t xml:space="preserve">400</t>
  </si>
  <si>
    <t xml:space="preserve">650</t>
  </si>
  <si>
    <t xml:space="preserve">1,200</t>
  </si>
  <si>
    <t xml:space="preserve">500</t>
  </si>
  <si>
    <t xml:space="preserve">Cost per use in a run (run salvage)</t>
  </si>
  <si>
    <t xml:space="preserve">120</t>
  </si>
  <si>
    <t xml:space="preserve">110</t>
  </si>
  <si>
    <t xml:space="preserve">140</t>
  </si>
  <si>
    <t xml:space="preserve">100</t>
  </si>
  <si>
    <t xml:space="preserve">150</t>
  </si>
  <si>
    <t xml:space="preserve">180</t>
  </si>
  <si>
    <t xml:space="preserve">90</t>
  </si>
  <si>
    <t xml:space="preserve">Damage</t>
  </si>
  <si>
    <t xml:space="preserve">Damage per hit / tick</t>
  </si>
  <si>
    <t xml:space="preserve">2 per arc</t>
  </si>
  <si>
    <t xml:space="preserve">Pulls + splits</t>
  </si>
  <si>
    <t xml:space="preserve">2 per tick</t>
  </si>
  <si>
    <t xml:space="preserve">0.6 per bolt</t>
  </si>
  <si>
    <t xml:space="preserve">Contact grind</t>
  </si>
  <si>
    <t xml:space="preserve">Rate (hits per second or interval)</t>
  </si>
  <si>
    <t xml:space="preserve">Every 1.1s</t>
  </si>
  <si>
    <t xml:space="preserve">Continuous</t>
  </si>
  <si>
    <t xml:space="preserve">Per tick + burn</t>
  </si>
  <si>
    <t xml:space="preserve">Every 1.0s</t>
  </si>
  <si>
    <t xml:space="preserve">10 bolts/s</t>
  </si>
  <si>
    <t xml:space="preserve">Per lunge</t>
  </si>
  <si>
    <t xml:space="preserve">Per tick</t>
  </si>
  <si>
    <t xml:space="preserve">Area / range</t>
  </si>
  <si>
    <t xml:space="preserve">Chain 5 hulls</t>
  </si>
  <si>
    <t xml:space="preserve">Radius 3.4</t>
  </si>
  <si>
    <t xml:space="preserve">Beam 12 long</t>
  </si>
  <si>
    <t xml:space="preserve">Width 4</t>
  </si>
  <si>
    <t xml:space="preserve">Fire range 4.6</t>
  </si>
  <si>
    <t xml:space="preserve">Radius 1.05</t>
  </si>
  <si>
    <t xml:space="preserve">Seeks</t>
  </si>
  <si>
    <t xml:space="preserve">Timing</t>
  </si>
  <si>
    <t xml:space="preserve">Duration on the field</t>
  </si>
  <si>
    <t xml:space="preserve">Until 3 HP lost</t>
  </si>
  <si>
    <t xml:space="preserve">20s</t>
  </si>
  <si>
    <t xml:space="preserve">11s (30s cockpit)</t>
  </si>
  <si>
    <t xml:space="preserve">Cooldown / reuse limit</t>
  </si>
  <si>
    <t xml:space="preserve">4 towers</t>
  </si>
  <si>
    <t xml:space="preserve">2 wells</t>
  </si>
  <si>
    <t xml:space="preserve">1 at a time</t>
  </si>
  <si>
    <t xml:space="preserve">Nets interlock</t>
  </si>
  <si>
    <t xml:space="preserve">Scaling</t>
  </si>
  <si>
    <t xml:space="preserve">Garage system it levels with</t>
  </si>
  <si>
    <t xml:space="preserve">None yet</t>
  </si>
  <si>
    <t xml:space="preserve">What a level improves</t>
  </si>
  <si>
    <t xml:space="preserve">Hops, damage, rate</t>
  </si>
  <si>
    <t xml:space="preserve">Time, pull, radius</t>
  </si>
  <si>
    <t xml:space="preserve">Sweep time, length</t>
  </si>
  <si>
    <t xml:space="preserve">Catch, width, shocks</t>
  </si>
  <si>
    <t xml:space="preserve">Flight, bolt damage</t>
  </si>
  <si>
    <t xml:space="preserve">Perks at L3 / L5 / L6 / L9 / L10</t>
  </si>
  <si>
    <t xml:space="preserve">Missing</t>
  </si>
  <si>
    <t xml:space="preserve">Cross-system link (L5 perk)</t>
  </si>
  <si>
    <t xml:space="preserve">Ion Shield</t>
  </si>
  <si>
    <t xml:space="preserve">Interaction</t>
  </si>
  <si>
    <t xml:space="preserve">Blocked or resisted by</t>
  </si>
  <si>
    <t xml:space="preserve">Bosses smash</t>
  </si>
  <si>
    <t xml:space="preserve">Combos / fusions</t>
  </si>
  <si>
    <t xml:space="preserve">Arc Battery (station)</t>
  </si>
  <si>
    <t xml:space="preserve">Singularity Cluster</t>
  </si>
  <si>
    <t xml:space="preserve">Thermal Link</t>
  </si>
  <si>
    <t xml:space="preserve">Shatter Wave</t>
  </si>
  <si>
    <t xml:space="preserve">Balance</t>
  </si>
  <si>
    <t xml:space="preserve">Director power weight</t>
  </si>
  <si>
    <t xml:space="preserve">1.0 per level</t>
  </si>
  <si>
    <t xml:space="preserve">0.5 per level</t>
  </si>
  <si>
    <t xml:space="preserve">Gem shop Legendary perk</t>
  </si>
  <si>
    <t xml:space="preserve">Living Storm</t>
  </si>
  <si>
    <t xml:space="preserve">Event Cascade</t>
  </si>
  <si>
    <t xml:space="preserve">Phoenix Line</t>
  </si>
  <si>
    <t xml:space="preserve">Spider's Larder</t>
  </si>
  <si>
    <t xml:space="preserve">Deadeye</t>
  </si>
  <si>
    <t xml:space="preserve">Presentation</t>
  </si>
  <si>
    <t xml:space="preserve">Sound, effect and HUD readout</t>
  </si>
  <si>
    <t xml:space="preserve">Cockpit HUD</t>
  </si>
  <si>
    <t xml:space="preserve">Orange cells are gaps: Apex-9 and Rotary Saws have no Garage levels or perks yet. A new weapon should fill every row of the last column before it's built.</t>
  </si>
  <si>
    <t xml:space="preserve">COMMUNITY PROPOSALS</t>
  </si>
  <si>
    <t xml:space="preserve">Log a balance idea here. One row per idea. Fill the yellow cells; the team reviews them before each balance pass.</t>
  </si>
  <si>
    <t xml:space="preserve">Date</t>
  </si>
  <si>
    <t xml:space="preserve">Submitted by</t>
  </si>
  <si>
    <t xml:space="preserve">Weapon / system</t>
  </si>
  <si>
    <t xml:space="preserve">Current value</t>
  </si>
  <si>
    <t xml:space="preserve">Proposed value</t>
  </si>
  <si>
    <t xml:space="preserve">Why</t>
  </si>
  <si>
    <t xml:space="preserve">Tested at wave</t>
  </si>
  <si>
    <t xml:space="preserve">Platform</t>
  </si>
  <si>
    <t xml:space="preserve">Status</t>
  </si>
  <si>
    <t xml:space="preserve">2026-11-01</t>
  </si>
  <si>
    <t xml:space="preserve">Example: RadiusCore</t>
  </si>
  <si>
    <t xml:space="preserve">Arc damage at L1</t>
  </si>
  <si>
    <t xml:space="preserve">3</t>
  </si>
  <si>
    <t xml:space="preserve">Example row: towers fall behind Insulated-heavy waves after 30; a third point at L1 keeps them useful early.</t>
  </si>
  <si>
    <t xml:space="preserve">32</t>
  </si>
  <si>
    <t xml:space="preserve">iPhone</t>
  </si>
  <si>
    <t xml:space="preserve">Example</t>
  </si>
  <si>
    <t xml:space="preserve">Status values: New · Under review · Testing · Shipped · Declined. Row 5 is an example; type your own ideas from row 6.</t>
  </si>
</sst>
</file>

<file path=xl/styles.xml><?xml version="1.0" encoding="utf-8"?>
<styleSheet xmlns="http://schemas.openxmlformats.org/spreadsheetml/2006/main">
  <numFmts count="13">
    <numFmt numFmtId="164" formatCode="General"/>
    <numFmt numFmtId="165" formatCode="General"/>
    <numFmt numFmtId="166" formatCode="#,##0"/>
    <numFmt numFmtId="167" formatCode="0"/>
    <numFmt numFmtId="168" formatCode="0.00###"/>
    <numFmt numFmtId="169" formatCode="0.00"/>
    <numFmt numFmtId="170" formatCode="0.0\×"/>
    <numFmt numFmtId="171" formatCode="0.0"/>
    <numFmt numFmtId="172" formatCode="0.0#"/>
    <numFmt numFmtId="173" formatCode="0%"/>
    <numFmt numFmtId="174" formatCode="0.00\×"/>
    <numFmt numFmtId="175" formatCode="0\×"/>
    <numFmt numFmtId="176" formatCode="0.000"/>
  </numFmts>
  <fonts count="19">
    <font>
      <sz val="11"/>
      <color theme="1"/>
      <name val="Calibri"/>
      <family val="2"/>
      <charset val="1"/>
    </font>
    <font>
      <sz val="10"/>
      <name val="Arial"/>
      <family val="0"/>
    </font>
    <font>
      <sz val="10"/>
      <name val="Arial"/>
      <family val="0"/>
    </font>
    <font>
      <sz val="10"/>
      <name val="Arial"/>
      <family val="0"/>
    </font>
    <font>
      <b val="true"/>
      <sz val="18"/>
      <color rgb="FF1B2A41"/>
      <name val="Arial"/>
      <family val="0"/>
      <charset val="1"/>
    </font>
    <font>
      <i val="true"/>
      <sz val="9"/>
      <color rgb="FF5A6B7B"/>
      <name val="Arial"/>
      <family val="0"/>
      <charset val="1"/>
    </font>
    <font>
      <b val="true"/>
      <sz val="10"/>
      <color rgb="FF1B2A41"/>
      <name val="Arial"/>
      <family val="0"/>
      <charset val="1"/>
    </font>
    <font>
      <sz val="10"/>
      <color rgb="FF000000"/>
      <name val="Arial"/>
      <family val="0"/>
      <charset val="1"/>
    </font>
    <font>
      <b val="true"/>
      <sz val="12"/>
      <color rgb="FF1B2A41"/>
      <name val="Arial"/>
      <family val="0"/>
      <charset val="1"/>
    </font>
    <font>
      <sz val="10"/>
      <color rgb="FF0000FF"/>
      <name val="Arial"/>
      <family val="0"/>
      <charset val="1"/>
    </font>
    <font>
      <sz val="10"/>
      <color rgb="FF008000"/>
      <name val="Arial"/>
      <family val="0"/>
      <charset val="1"/>
    </font>
    <font>
      <b val="true"/>
      <sz val="10"/>
      <color rgb="FFFFFFFF"/>
      <name val="Arial"/>
      <family val="0"/>
      <charset val="1"/>
    </font>
    <font>
      <b val="true"/>
      <sz val="10"/>
      <name val="Arial"/>
      <family val="0"/>
      <charset val="1"/>
    </font>
    <font>
      <b val="true"/>
      <sz val="18"/>
      <color rgb="FF000000"/>
      <name val="Calibri"/>
      <family val="2"/>
    </font>
    <font>
      <sz val="10"/>
      <color rgb="FF000000"/>
      <name val="Calibri"/>
      <family val="2"/>
    </font>
    <font>
      <b val="true"/>
      <sz val="10"/>
      <color rgb="FF000000"/>
      <name val="Calibri"/>
      <family val="2"/>
    </font>
    <font>
      <sz val="10"/>
      <name val="Arial"/>
      <family val="0"/>
      <charset val="1"/>
    </font>
    <font>
      <b val="true"/>
      <sz val="10"/>
      <color rgb="FFB85C00"/>
      <name val="Arial"/>
      <family val="0"/>
      <charset val="1"/>
    </font>
    <font>
      <i val="true"/>
      <sz val="10"/>
      <color rgb="FF5A6B7B"/>
      <name val="Arial"/>
      <family val="0"/>
      <charset val="1"/>
    </font>
  </fonts>
  <fills count="7">
    <fill>
      <patternFill patternType="none"/>
    </fill>
    <fill>
      <patternFill patternType="gray125"/>
    </fill>
    <fill>
      <patternFill patternType="solid">
        <fgColor rgb="FFFFF7CC"/>
        <bgColor rgb="FFFCE4CC"/>
      </patternFill>
    </fill>
    <fill>
      <patternFill patternType="solid">
        <fgColor rgb="FF1B2A41"/>
        <bgColor rgb="FF003366"/>
      </patternFill>
    </fill>
    <fill>
      <patternFill patternType="solid">
        <fgColor rgb="FFEEF4F8"/>
        <bgColor rgb="FFFFFFFF"/>
      </patternFill>
    </fill>
    <fill>
      <patternFill patternType="solid">
        <fgColor rgb="FFF8D7D3"/>
        <bgColor rgb="FFFCE4CC"/>
      </patternFill>
    </fill>
    <fill>
      <patternFill patternType="solid">
        <fgColor rgb="FFFCE4CC"/>
        <bgColor rgb="FFF8D7D3"/>
      </patternFill>
    </fill>
  </fills>
  <borders count="2">
    <border diagonalUp="false" diagonalDown="false">
      <left/>
      <right/>
      <top/>
      <bottom/>
      <diagonal/>
    </border>
    <border diagonalUp="false" diagonalDown="false">
      <left style="thin">
        <color rgb="FFC9D4DE"/>
      </left>
      <right style="thin">
        <color rgb="FFC9D4DE"/>
      </right>
      <top style="thin">
        <color rgb="FFC9D4DE"/>
      </top>
      <bottom style="thin">
        <color rgb="FFC9D4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6" fontId="10" fillId="0"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6" fontId="7" fillId="4"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center" vertical="center" textRotation="0" wrapText="true" indent="0" shrinkToFit="false"/>
      <protection locked="true" hidden="false"/>
    </xf>
    <xf numFmtId="166" fontId="10" fillId="0" borderId="1" xfId="0" applyFont="true" applyBorder="true" applyAlignment="true" applyProtection="false">
      <alignment horizontal="general" vertical="top" textRotation="0" wrapText="true" indent="0" shrinkToFit="false"/>
      <protection locked="true" hidden="false"/>
    </xf>
    <xf numFmtId="166" fontId="10" fillId="4"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6" fontId="12" fillId="0"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7" fontId="9" fillId="2"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7" fontId="7" fillId="4" borderId="1" xfId="0" applyFont="true" applyBorder="true" applyAlignment="true" applyProtection="false">
      <alignment horizontal="center" vertical="center" textRotation="0" wrapText="true" indent="0" shrinkToFit="false"/>
      <protection locked="true" hidden="false"/>
    </xf>
    <xf numFmtId="167" fontId="7" fillId="4"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8" fontId="9" fillId="2"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9" fontId="7" fillId="0" borderId="1" xfId="0" applyFont="true" applyBorder="true" applyAlignment="true" applyProtection="false">
      <alignment horizontal="center" vertical="top" textRotation="0" wrapText="false" indent="0" shrinkToFit="false"/>
      <protection locked="true" hidden="false"/>
    </xf>
    <xf numFmtId="170" fontId="7" fillId="0" borderId="1" xfId="0" applyFont="true" applyBorder="true" applyAlignment="true" applyProtection="false">
      <alignment horizontal="center" vertical="top" textRotation="0" wrapText="false" indent="0" shrinkToFit="false"/>
      <protection locked="true" hidden="false"/>
    </xf>
    <xf numFmtId="171" fontId="7" fillId="0" borderId="1" xfId="0" applyFont="true" applyBorder="true" applyAlignment="true" applyProtection="false">
      <alignment horizontal="center" vertical="top" textRotation="0" wrapText="false" indent="0" shrinkToFit="false"/>
      <protection locked="true" hidden="false"/>
    </xf>
    <xf numFmtId="167" fontId="7" fillId="4" borderId="1" xfId="0" applyFont="true" applyBorder="true" applyAlignment="true" applyProtection="false">
      <alignment horizontal="center" vertical="top" textRotation="0" wrapText="false" indent="0" shrinkToFit="false"/>
      <protection locked="true" hidden="false"/>
    </xf>
    <xf numFmtId="169" fontId="7" fillId="4" borderId="1" xfId="0" applyFont="true" applyBorder="true" applyAlignment="true" applyProtection="false">
      <alignment horizontal="center" vertical="top" textRotation="0" wrapText="false" indent="0" shrinkToFit="false"/>
      <protection locked="true" hidden="false"/>
    </xf>
    <xf numFmtId="170" fontId="7" fillId="4" borderId="1" xfId="0" applyFont="true" applyBorder="true" applyAlignment="true" applyProtection="false">
      <alignment horizontal="center" vertical="top" textRotation="0" wrapText="false" indent="0" shrinkToFit="false"/>
      <protection locked="true" hidden="false"/>
    </xf>
    <xf numFmtId="171" fontId="7" fillId="4" borderId="1" xfId="0" applyFont="true" applyBorder="true" applyAlignment="true" applyProtection="false">
      <alignment horizontal="center" vertical="top" textRotation="0" wrapText="false" indent="0" shrinkToFit="false"/>
      <protection locked="true" hidden="false"/>
    </xf>
    <xf numFmtId="172" fontId="9" fillId="2" borderId="1" xfId="0" applyFont="true" applyBorder="true" applyAlignment="true" applyProtection="false">
      <alignment horizontal="general" vertical="top" textRotation="0" wrapText="true" indent="0" shrinkToFit="false"/>
      <protection locked="true" hidden="false"/>
    </xf>
    <xf numFmtId="166" fontId="9" fillId="2" borderId="1" xfId="0" applyFont="true" applyBorder="true" applyAlignment="true" applyProtection="false">
      <alignment horizontal="general" vertical="top" textRotation="0" wrapText="true" indent="0" shrinkToFit="false"/>
      <protection locked="true" hidden="false"/>
    </xf>
    <xf numFmtId="173" fontId="7" fillId="0" borderId="1" xfId="0" applyFont="true" applyBorder="true" applyAlignment="true" applyProtection="false">
      <alignment horizontal="center" vertical="top" textRotation="0" wrapText="false" indent="0" shrinkToFit="false"/>
      <protection locked="true" hidden="false"/>
    </xf>
    <xf numFmtId="173" fontId="7" fillId="4" borderId="1" xfId="0" applyFont="true" applyBorder="true" applyAlignment="true" applyProtection="false">
      <alignment horizontal="center" vertical="top" textRotation="0" wrapText="false" indent="0" shrinkToFit="false"/>
      <protection locked="true" hidden="false"/>
    </xf>
    <xf numFmtId="174" fontId="7" fillId="0" borderId="1" xfId="0" applyFont="true" applyBorder="true" applyAlignment="true" applyProtection="false">
      <alignment horizontal="center" vertical="top" textRotation="0" wrapText="false" indent="0" shrinkToFit="false"/>
      <protection locked="true" hidden="false"/>
    </xf>
    <xf numFmtId="175" fontId="7" fillId="0" borderId="1" xfId="0" applyFont="true" applyBorder="true" applyAlignment="true" applyProtection="false">
      <alignment horizontal="center" vertical="top" textRotation="0" wrapText="false" indent="0" shrinkToFit="false"/>
      <protection locked="true" hidden="false"/>
    </xf>
    <xf numFmtId="174" fontId="7" fillId="4" borderId="1" xfId="0" applyFont="true" applyBorder="true" applyAlignment="true" applyProtection="false">
      <alignment horizontal="center" vertical="top" textRotation="0" wrapText="false" indent="0" shrinkToFit="false"/>
      <protection locked="true" hidden="false"/>
    </xf>
    <xf numFmtId="175" fontId="7" fillId="4" borderId="1" xfId="0" applyFont="true" applyBorder="true" applyAlignment="true" applyProtection="false">
      <alignment horizontal="center" vertical="top" textRotation="0" wrapText="false" indent="0" shrinkToFit="false"/>
      <protection locked="true" hidden="false"/>
    </xf>
    <xf numFmtId="176" fontId="7" fillId="0" borderId="1" xfId="0" applyFont="true" applyBorder="true" applyAlignment="true" applyProtection="false">
      <alignment horizontal="center" vertical="top" textRotation="0" wrapText="false" indent="0" shrinkToFit="false"/>
      <protection locked="true" hidden="false"/>
    </xf>
    <xf numFmtId="176" fontId="7" fillId="4"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7" fillId="4" borderId="1" xfId="0" applyFont="true" applyBorder="true" applyAlignment="true" applyProtection="false">
      <alignment horizontal="center" vertical="top" textRotation="0" wrapText="false" indent="0" shrinkToFit="false"/>
      <protection locked="true" hidden="false"/>
    </xf>
    <xf numFmtId="171" fontId="9" fillId="2" borderId="1" xfId="0" applyFont="true" applyBorder="true" applyAlignment="true" applyProtection="false">
      <alignment horizontal="general" vertical="top" textRotation="0" wrapText="true" indent="0" shrinkToFit="false"/>
      <protection locked="true" hidden="false"/>
    </xf>
    <xf numFmtId="169" fontId="7" fillId="0" borderId="1" xfId="0" applyFont="true" applyBorder="true" applyAlignment="true" applyProtection="false">
      <alignment horizontal="center" vertical="bottom" textRotation="0" wrapText="false" indent="0" shrinkToFit="false"/>
      <protection locked="true" hidden="false"/>
    </xf>
    <xf numFmtId="167" fontId="7" fillId="0" borderId="1" xfId="0" applyFont="true" applyBorder="true" applyAlignment="true" applyProtection="false">
      <alignment horizontal="center" vertical="bottom" textRotation="0" wrapText="false" indent="0" shrinkToFit="false"/>
      <protection locked="true" hidden="false"/>
    </xf>
    <xf numFmtId="176" fontId="7" fillId="0" borderId="1" xfId="0" applyFont="true" applyBorder="true" applyAlignment="true" applyProtection="false">
      <alignment horizontal="center" vertical="bottom" textRotation="0" wrapText="false" indent="0" shrinkToFit="false"/>
      <protection locked="true" hidden="false"/>
    </xf>
    <xf numFmtId="173" fontId="7" fillId="0" borderId="1" xfId="0" applyFont="true" applyBorder="true" applyAlignment="true" applyProtection="false">
      <alignment horizontal="center" vertical="bottom" textRotation="0" wrapText="false" indent="0" shrinkToFit="false"/>
      <protection locked="true" hidden="false"/>
    </xf>
    <xf numFmtId="169" fontId="7" fillId="4" borderId="1" xfId="0" applyFont="true" applyBorder="true" applyAlignment="true" applyProtection="false">
      <alignment horizontal="center" vertical="bottom" textRotation="0" wrapText="false" indent="0" shrinkToFit="false"/>
      <protection locked="true" hidden="false"/>
    </xf>
    <xf numFmtId="167" fontId="7" fillId="4" borderId="1" xfId="0" applyFont="true" applyBorder="true" applyAlignment="true" applyProtection="false">
      <alignment horizontal="center" vertical="bottom" textRotation="0" wrapText="false" indent="0" shrinkToFit="false"/>
      <protection locked="true" hidden="false"/>
    </xf>
    <xf numFmtId="176" fontId="7" fillId="4" borderId="1" xfId="0" applyFont="true" applyBorder="true" applyAlignment="true" applyProtection="false">
      <alignment horizontal="center" vertical="bottom" textRotation="0" wrapText="false" indent="0" shrinkToFit="false"/>
      <protection locked="true" hidden="false"/>
    </xf>
    <xf numFmtId="173" fontId="7" fillId="4" borderId="1" xfId="0" applyFont="true" applyBorder="true" applyAlignment="true" applyProtection="false">
      <alignment horizontal="center" vertical="bottom" textRotation="0" wrapText="false" indent="0" shrinkToFit="false"/>
      <protection locked="true" hidden="false"/>
    </xf>
    <xf numFmtId="169" fontId="7" fillId="0" borderId="1" xfId="0" applyFont="true" applyBorder="true" applyAlignment="true" applyProtection="false">
      <alignment horizontal="general" vertical="top" textRotation="0" wrapText="true" indent="0" shrinkToFit="false"/>
      <protection locked="true" hidden="false"/>
    </xf>
    <xf numFmtId="169" fontId="7" fillId="4"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center" vertical="bottom" textRotation="0" wrapText="false" indent="0" shrinkToFit="false"/>
      <protection locked="true" hidden="false"/>
    </xf>
    <xf numFmtId="164" fontId="16" fillId="4" borderId="1" xfId="0" applyFont="true" applyBorder="true" applyAlignment="true" applyProtection="false">
      <alignment horizontal="center"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17" fillId="6" borderId="1" xfId="0" applyFont="true" applyBorder="true" applyAlignment="true" applyProtection="false">
      <alignment horizontal="center" vertical="center" textRotation="0" wrapText="true" indent="0" shrinkToFit="false"/>
      <protection locked="true" hidden="false"/>
    </xf>
    <xf numFmtId="164" fontId="18"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7A44B"/>
      <rgbColor rgb="FF7D5FA0"/>
      <rgbColor rgb="FF4F81BD"/>
      <rgbColor rgb="FFB3B3B3"/>
      <rgbColor rgb="FF878787"/>
      <rgbColor rgb="FF8EA5CA"/>
      <rgbColor rgb="FFAA433F"/>
      <rgbColor rgb="FFFFF7CC"/>
      <rgbColor rgb="FFEEF4F8"/>
      <rgbColor rgb="FF660066"/>
      <rgbColor rgb="FFCC8F8E"/>
      <rgbColor rgb="FF4A7EBB"/>
      <rgbColor rgb="FFC9D4DE"/>
      <rgbColor rgb="FF000080"/>
      <rgbColor rgb="FFFF00FF"/>
      <rgbColor rgb="FFFFFF00"/>
      <rgbColor rgb="FF00FFFF"/>
      <rgbColor rgb="FF800080"/>
      <rgbColor rgb="FF800000"/>
      <rgbColor rgb="FF6C7A89"/>
      <rgbColor rgb="FF0000FF"/>
      <rgbColor rgb="FF46AAC4"/>
      <rgbColor rgb="FFCCFFFF"/>
      <rgbColor rgb="FFD9D9D9"/>
      <rgbColor rgb="FFFCE4CC"/>
      <rgbColor rgb="FF8CBFD2"/>
      <rgbColor rgb="FFFF99CC"/>
      <rgbColor rgb="FFB3C992"/>
      <rgbColor rgb="FFF8D7D3"/>
      <rgbColor rgb="FF426FA6"/>
      <rgbColor rgb="FF2BB3D9"/>
      <rgbColor rgb="FF98B855"/>
      <rgbColor rgb="FFFFCC00"/>
      <rgbColor rgb="FFE0A100"/>
      <rgbColor rgb="FFDB8238"/>
      <rgbColor rgb="FF5A6B7B"/>
      <rgbColor rgb="FFA596B9"/>
      <rgbColor rgb="FF003366"/>
      <rgbColor rgb="FF3D97AF"/>
      <rgbColor rgb="FF003300"/>
      <rgbColor rgb="FF333300"/>
      <rgbColor rgb="FFB85C00"/>
      <rgbColor rgb="FFBE4B48"/>
      <rgbColor rgb="FF6F568D"/>
      <rgbColor rgb="FF1B2A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 every system</a:t>
            </a:r>
          </a:p>
        </c:rich>
      </c:tx>
      <c:overlay val="0"/>
      <c:spPr>
        <a:noFill/>
        <a:ln w="0">
          <a:noFill/>
        </a:ln>
      </c:spPr>
    </c:title>
    <c:autoTitleDeleted val="0"/>
    <c:plotArea>
      <c:lineChart>
        <c:grouping val="standard"/>
        <c:varyColors val="0"/>
        <c:ser>
          <c:idx val="0"/>
          <c:order val="0"/>
          <c:tx>
            <c:strRef>
              <c:f>'Garage Costs'!B5</c:f>
              <c:strCache>
                <c:ptCount val="1"/>
                <c:pt idx="0">
                  <c:v>Missile Silos</c:v>
                </c:pt>
              </c:strCache>
            </c:strRef>
          </c:tx>
          <c:spPr>
            <a:solidFill>
              <a:srgbClr val="426fa6"/>
            </a:solidFill>
            <a:ln w="28440">
              <a:solidFill>
                <a:srgbClr val="426fa6"/>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Costs'!$B$6:$B$15</c:f>
              <c:numCache>
                <c:formatCode>#,##0</c:formatCode>
                <c:ptCount val="10"/>
                <c:pt idx="0">
                  <c:v>90</c:v>
                </c:pt>
                <c:pt idx="1">
                  <c:v>305</c:v>
                </c:pt>
                <c:pt idx="2">
                  <c:v>615</c:v>
                </c:pt>
                <c:pt idx="3">
                  <c:v>1020</c:v>
                </c:pt>
                <c:pt idx="4">
                  <c:v>1505</c:v>
                </c:pt>
                <c:pt idx="5">
                  <c:v>2070</c:v>
                </c:pt>
                <c:pt idx="6">
                  <c:v>2710</c:v>
                </c:pt>
                <c:pt idx="7">
                  <c:v>3425</c:v>
                </c:pt>
                <c:pt idx="8">
                  <c:v>4210</c:v>
                </c:pt>
                <c:pt idx="9">
                  <c:v>5060</c:v>
                </c:pt>
              </c:numCache>
            </c:numRef>
          </c:val>
          <c:smooth val="1"/>
        </c:ser>
        <c:ser>
          <c:idx val="1"/>
          <c:order val="1"/>
          <c:tx>
            <c:strRef>
              <c:f>'Garage Costs'!C5</c:f>
              <c:strCache>
                <c:ptCount val="1"/>
                <c:pt idx="0">
                  <c:v>Ion Shield Nodes</c:v>
                </c:pt>
              </c:strCache>
            </c:strRef>
          </c:tx>
          <c:spPr>
            <a:solidFill>
              <a:srgbClr val="aa433f"/>
            </a:solidFill>
            <a:ln w="28440">
              <a:solidFill>
                <a:srgbClr val="aa433f"/>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Costs'!$C$6:$C$15</c:f>
              <c:numCache>
                <c:formatCode>#,##0</c:formatCode>
                <c:ptCount val="10"/>
                <c:pt idx="0">
                  <c:v>90</c:v>
                </c:pt>
                <c:pt idx="1">
                  <c:v>305</c:v>
                </c:pt>
                <c:pt idx="2">
                  <c:v>615</c:v>
                </c:pt>
                <c:pt idx="3">
                  <c:v>1020</c:v>
                </c:pt>
                <c:pt idx="4">
                  <c:v>1505</c:v>
                </c:pt>
                <c:pt idx="5">
                  <c:v>2070</c:v>
                </c:pt>
                <c:pt idx="6">
                  <c:v>2710</c:v>
                </c:pt>
                <c:pt idx="7">
                  <c:v>3425</c:v>
                </c:pt>
                <c:pt idx="8">
                  <c:v>4210</c:v>
                </c:pt>
                <c:pt idx="9">
                  <c:v>5060</c:v>
                </c:pt>
              </c:numCache>
            </c:numRef>
          </c:val>
          <c:smooth val="1"/>
        </c:ser>
        <c:ser>
          <c:idx val="2"/>
          <c:order val="2"/>
          <c:tx>
            <c:strRef>
              <c:f>'Garage Costs'!D5</c:f>
              <c:strCache>
                <c:ptCount val="1"/>
                <c:pt idx="0">
                  <c:v>Hull Plating</c:v>
                </c:pt>
              </c:strCache>
            </c:strRef>
          </c:tx>
          <c:spPr>
            <a:solidFill>
              <a:srgbClr val="87a44b"/>
            </a:solidFill>
            <a:ln w="28440">
              <a:solidFill>
                <a:srgbClr val="87a44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Costs'!$D$6:$D$15</c:f>
              <c:numCache>
                <c:formatCode>#,##0</c:formatCode>
                <c:ptCount val="10"/>
                <c:pt idx="0">
                  <c:v>75</c:v>
                </c:pt>
                <c:pt idx="1">
                  <c:v>250</c:v>
                </c:pt>
                <c:pt idx="2">
                  <c:v>515</c:v>
                </c:pt>
                <c:pt idx="3">
                  <c:v>850</c:v>
                </c:pt>
                <c:pt idx="4">
                  <c:v>1255</c:v>
                </c:pt>
                <c:pt idx="5">
                  <c:v>1725</c:v>
                </c:pt>
                <c:pt idx="6">
                  <c:v>2260</c:v>
                </c:pt>
                <c:pt idx="7">
                  <c:v>2855</c:v>
                </c:pt>
                <c:pt idx="8">
                  <c:v>3505</c:v>
                </c:pt>
                <c:pt idx="9">
                  <c:v>4220</c:v>
                </c:pt>
              </c:numCache>
            </c:numRef>
          </c:val>
          <c:smooth val="1"/>
        </c:ser>
        <c:ser>
          <c:idx val="3"/>
          <c:order val="3"/>
          <c:tx>
            <c:strRef>
              <c:f>'Garage Costs'!E5</c:f>
              <c:strCache>
                <c:ptCount val="1"/>
                <c:pt idx="0">
                  <c:v>Tesla Coils</c:v>
                </c:pt>
              </c:strCache>
            </c:strRef>
          </c:tx>
          <c:spPr>
            <a:solidFill>
              <a:srgbClr val="6f568d"/>
            </a:solidFill>
            <a:ln w="28440">
              <a:solidFill>
                <a:srgbClr val="6f568d"/>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Costs'!$E$6:$E$15</c:f>
              <c:numCache>
                <c:formatCode>#,##0</c:formatCode>
                <c:ptCount val="10"/>
                <c:pt idx="0">
                  <c:v>180</c:v>
                </c:pt>
                <c:pt idx="1">
                  <c:v>605</c:v>
                </c:pt>
                <c:pt idx="2">
                  <c:v>1230</c:v>
                </c:pt>
                <c:pt idx="3">
                  <c:v>2035</c:v>
                </c:pt>
                <c:pt idx="4">
                  <c:v>3010</c:v>
                </c:pt>
                <c:pt idx="5">
                  <c:v>4140</c:v>
                </c:pt>
                <c:pt idx="6">
                  <c:v>5420</c:v>
                </c:pt>
                <c:pt idx="7">
                  <c:v>6850</c:v>
                </c:pt>
                <c:pt idx="8">
                  <c:v>8420</c:v>
                </c:pt>
                <c:pt idx="9">
                  <c:v>10120</c:v>
                </c:pt>
              </c:numCache>
            </c:numRef>
          </c:val>
          <c:smooth val="1"/>
        </c:ser>
        <c:ser>
          <c:idx val="4"/>
          <c:order val="4"/>
          <c:tx>
            <c:strRef>
              <c:f>'Garage Costs'!F5</c:f>
              <c:strCache>
                <c:ptCount val="1"/>
                <c:pt idx="0">
                  <c:v>Laser Arrays</c:v>
                </c:pt>
              </c:strCache>
            </c:strRef>
          </c:tx>
          <c:spPr>
            <a:solidFill>
              <a:srgbClr val="3d97af"/>
            </a:solidFill>
            <a:ln w="28440">
              <a:solidFill>
                <a:srgbClr val="3d97af"/>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Costs'!$F$6:$F$15</c:f>
              <c:numCache>
                <c:formatCode>#,##0</c:formatCode>
                <c:ptCount val="10"/>
                <c:pt idx="0">
                  <c:v>105</c:v>
                </c:pt>
                <c:pt idx="1">
                  <c:v>355</c:v>
                </c:pt>
                <c:pt idx="2">
                  <c:v>720</c:v>
                </c:pt>
                <c:pt idx="3">
                  <c:v>1190</c:v>
                </c:pt>
                <c:pt idx="4">
                  <c:v>1755</c:v>
                </c:pt>
                <c:pt idx="5">
                  <c:v>2415</c:v>
                </c:pt>
                <c:pt idx="6">
                  <c:v>3165</c:v>
                </c:pt>
                <c:pt idx="7">
                  <c:v>3995</c:v>
                </c:pt>
                <c:pt idx="8">
                  <c:v>4910</c:v>
                </c:pt>
                <c:pt idx="9">
                  <c:v>5905</c:v>
                </c:pt>
              </c:numCache>
            </c:numRef>
          </c:val>
          <c:smooth val="1"/>
        </c:ser>
        <c:ser>
          <c:idx val="5"/>
          <c:order val="5"/>
          <c:tx>
            <c:strRef>
              <c:f>'Garage Costs'!G5</c:f>
              <c:strCache>
                <c:ptCount val="1"/>
                <c:pt idx="0">
                  <c:v>Salvage Vacuum</c:v>
                </c:pt>
              </c:strCache>
            </c:strRef>
          </c:tx>
          <c:spPr>
            <a:solidFill>
              <a:srgbClr val="db8238"/>
            </a:solidFill>
            <a:ln w="28440">
              <a:solidFill>
                <a:srgbClr val="db823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Costs'!$G$6:$G$15</c:f>
              <c:numCache>
                <c:formatCode>#,##0</c:formatCode>
                <c:ptCount val="10"/>
                <c:pt idx="0">
                  <c:v>135</c:v>
                </c:pt>
                <c:pt idx="1">
                  <c:v>455</c:v>
                </c:pt>
                <c:pt idx="2">
                  <c:v>925</c:v>
                </c:pt>
                <c:pt idx="3">
                  <c:v>1525</c:v>
                </c:pt>
                <c:pt idx="4">
                  <c:v>2255</c:v>
                </c:pt>
                <c:pt idx="5">
                  <c:v>3105</c:v>
                </c:pt>
                <c:pt idx="6">
                  <c:v>4065</c:v>
                </c:pt>
                <c:pt idx="7">
                  <c:v>5135</c:v>
                </c:pt>
                <c:pt idx="8">
                  <c:v>6315</c:v>
                </c:pt>
                <c:pt idx="9">
                  <c:v>7590</c:v>
                </c:pt>
              </c:numCache>
            </c:numRef>
          </c:val>
          <c:smooth val="1"/>
        </c:ser>
        <c:ser>
          <c:idx val="6"/>
          <c:order val="6"/>
          <c:tx>
            <c:strRef>
              <c:f>'Garage Costs'!H5</c:f>
              <c:strCache>
                <c:ptCount val="1"/>
                <c:pt idx="0">
                  <c:v>Deadstick Pilot</c:v>
                </c:pt>
              </c:strCache>
            </c:strRef>
          </c:tx>
          <c:spPr>
            <a:solidFill>
              <a:srgbClr val="8ea5ca"/>
            </a:solidFill>
            <a:ln w="28440">
              <a:solidFill>
                <a:srgbClr val="8ea5ca"/>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Costs'!$H$6:$H$15</c:f>
              <c:numCache>
                <c:formatCode>#,##0</c:formatCode>
                <c:ptCount val="10"/>
                <c:pt idx="0">
                  <c:v>2200</c:v>
                </c:pt>
                <c:pt idx="1">
                  <c:v>505</c:v>
                </c:pt>
                <c:pt idx="2">
                  <c:v>1025</c:v>
                </c:pt>
                <c:pt idx="3">
                  <c:v>1695</c:v>
                </c:pt>
                <c:pt idx="4">
                  <c:v>2510</c:v>
                </c:pt>
                <c:pt idx="5">
                  <c:v>3450</c:v>
                </c:pt>
                <c:pt idx="6">
                  <c:v>4520</c:v>
                </c:pt>
                <c:pt idx="7">
                  <c:v>5710</c:v>
                </c:pt>
                <c:pt idx="8">
                  <c:v>7015</c:v>
                </c:pt>
                <c:pt idx="9">
                  <c:v>8435</c:v>
                </c:pt>
              </c:numCache>
            </c:numRef>
          </c:val>
          <c:smooth val="1"/>
        </c:ser>
        <c:ser>
          <c:idx val="7"/>
          <c:order val="7"/>
          <c:tx>
            <c:strRef>
              <c:f>'Garage Costs'!I5</c:f>
              <c:strCache>
                <c:ptCount val="1"/>
                <c:pt idx="0">
                  <c:v>Pulse Emitter</c:v>
                </c:pt>
              </c:strCache>
            </c:strRef>
          </c:tx>
          <c:spPr>
            <a:solidFill>
              <a:srgbClr val="cc8f8e"/>
            </a:solidFill>
            <a:ln w="28440">
              <a:solidFill>
                <a:srgbClr val="cc8f8e"/>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Costs'!$I$6:$I$15</c:f>
              <c:numCache>
                <c:formatCode>#,##0</c:formatCode>
                <c:ptCount val="10"/>
                <c:pt idx="0">
                  <c:v>120</c:v>
                </c:pt>
                <c:pt idx="1">
                  <c:v>405</c:v>
                </c:pt>
                <c:pt idx="2">
                  <c:v>820</c:v>
                </c:pt>
                <c:pt idx="3">
                  <c:v>1360</c:v>
                </c:pt>
                <c:pt idx="4">
                  <c:v>2005</c:v>
                </c:pt>
                <c:pt idx="5">
                  <c:v>2760</c:v>
                </c:pt>
                <c:pt idx="6">
                  <c:v>3615</c:v>
                </c:pt>
                <c:pt idx="7">
                  <c:v>4565</c:v>
                </c:pt>
                <c:pt idx="8">
                  <c:v>5610</c:v>
                </c:pt>
                <c:pt idx="9">
                  <c:v>6750</c:v>
                </c:pt>
              </c:numCache>
            </c:numRef>
          </c:val>
          <c:smooth val="1"/>
        </c:ser>
        <c:ser>
          <c:idx val="8"/>
          <c:order val="8"/>
          <c:tx>
            <c:strRef>
              <c:f>'Garage Costs'!J5</c:f>
              <c:strCache>
                <c:ptCount val="1"/>
                <c:pt idx="0">
                  <c:v>Gravity Well</c:v>
                </c:pt>
              </c:strCache>
            </c:strRef>
          </c:tx>
          <c:spPr>
            <a:solidFill>
              <a:srgbClr val="b3c992"/>
            </a:solidFill>
            <a:ln w="28440">
              <a:solidFill>
                <a:srgbClr val="b3c992"/>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Costs'!$J$6:$J$15</c:f>
              <c:numCache>
                <c:formatCode>#,##0</c:formatCode>
                <c:ptCount val="10"/>
                <c:pt idx="0">
                  <c:v>165</c:v>
                </c:pt>
                <c:pt idx="1">
                  <c:v>555</c:v>
                </c:pt>
                <c:pt idx="2">
                  <c:v>1130</c:v>
                </c:pt>
                <c:pt idx="3">
                  <c:v>1865</c:v>
                </c:pt>
                <c:pt idx="4">
                  <c:v>2760</c:v>
                </c:pt>
                <c:pt idx="5">
                  <c:v>3795</c:v>
                </c:pt>
                <c:pt idx="6">
                  <c:v>4970</c:v>
                </c:pt>
                <c:pt idx="7">
                  <c:v>6280</c:v>
                </c:pt>
                <c:pt idx="8">
                  <c:v>7715</c:v>
                </c:pt>
                <c:pt idx="9">
                  <c:v>9280</c:v>
                </c:pt>
              </c:numCache>
            </c:numRef>
          </c:val>
          <c:smooth val="1"/>
        </c:ser>
        <c:ser>
          <c:idx val="9"/>
          <c:order val="9"/>
          <c:tx>
            <c:strRef>
              <c:f>'Garage Costs'!K5</c:f>
              <c:strCache>
                <c:ptCount val="1"/>
                <c:pt idx="0">
                  <c:v>Hellstitch</c:v>
                </c:pt>
              </c:strCache>
            </c:strRef>
          </c:tx>
          <c:spPr>
            <a:solidFill>
              <a:srgbClr val="a596b9"/>
            </a:solidFill>
            <a:ln w="28440">
              <a:solidFill>
                <a:srgbClr val="a596b9"/>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Costs'!$K$6:$K$15</c:f>
              <c:numCache>
                <c:formatCode>#,##0</c:formatCode>
                <c:ptCount val="10"/>
                <c:pt idx="0">
                  <c:v>195</c:v>
                </c:pt>
                <c:pt idx="1">
                  <c:v>655</c:v>
                </c:pt>
                <c:pt idx="2">
                  <c:v>1335</c:v>
                </c:pt>
                <c:pt idx="3">
                  <c:v>2205</c:v>
                </c:pt>
                <c:pt idx="4">
                  <c:v>3260</c:v>
                </c:pt>
                <c:pt idx="5">
                  <c:v>4485</c:v>
                </c:pt>
                <c:pt idx="6">
                  <c:v>5875</c:v>
                </c:pt>
                <c:pt idx="7">
                  <c:v>7420</c:v>
                </c:pt>
                <c:pt idx="8">
                  <c:v>9120</c:v>
                </c:pt>
                <c:pt idx="9">
                  <c:v>10965</c:v>
                </c:pt>
              </c:numCache>
            </c:numRef>
          </c:val>
          <c:smooth val="1"/>
        </c:ser>
        <c:ser>
          <c:idx val="10"/>
          <c:order val="10"/>
          <c:tx>
            <c:strRef>
              <c:f>'Garage Costs'!L5</c:f>
              <c:strCache>
                <c:ptCount val="1"/>
                <c:pt idx="0">
                  <c:v>Aegis Net</c:v>
                </c:pt>
              </c:strCache>
            </c:strRef>
          </c:tx>
          <c:spPr>
            <a:solidFill>
              <a:srgbClr val="8cbfd2"/>
            </a:solidFill>
            <a:ln w="28440">
              <a:solidFill>
                <a:srgbClr val="8cbfd2"/>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Costs'!$A$6:$A$15</c:f>
              <c:strCache>
                <c:ptCount val="10"/>
                <c:pt idx="0">
                  <c:v>1</c:v>
                </c:pt>
                <c:pt idx="1">
                  <c:v>2</c:v>
                </c:pt>
                <c:pt idx="2">
                  <c:v>3</c:v>
                </c:pt>
                <c:pt idx="3">
                  <c:v>4</c:v>
                </c:pt>
                <c:pt idx="4">
                  <c:v>5</c:v>
                </c:pt>
                <c:pt idx="5">
                  <c:v>6</c:v>
                </c:pt>
                <c:pt idx="6">
                  <c:v>7</c:v>
                </c:pt>
                <c:pt idx="7">
                  <c:v>8</c:v>
                </c:pt>
                <c:pt idx="8">
                  <c:v>9</c:v>
                </c:pt>
                <c:pt idx="9">
                  <c:v>10</c:v>
                </c:pt>
              </c:strCache>
            </c:strRef>
          </c:cat>
          <c:val>
            <c:numRef>
              <c:f>'Garage Costs'!$L$6:$L$15</c:f>
              <c:numCache>
                <c:formatCode>#,##0</c:formatCode>
                <c:ptCount val="10"/>
                <c:pt idx="0">
                  <c:v>180</c:v>
                </c:pt>
                <c:pt idx="1">
                  <c:v>605</c:v>
                </c:pt>
                <c:pt idx="2">
                  <c:v>1230</c:v>
                </c:pt>
                <c:pt idx="3">
                  <c:v>2035</c:v>
                </c:pt>
                <c:pt idx="4">
                  <c:v>3010</c:v>
                </c:pt>
                <c:pt idx="5">
                  <c:v>4140</c:v>
                </c:pt>
                <c:pt idx="6">
                  <c:v>5420</c:v>
                </c:pt>
                <c:pt idx="7">
                  <c:v>6850</c:v>
                </c:pt>
                <c:pt idx="8">
                  <c:v>8420</c:v>
                </c:pt>
                <c:pt idx="9">
                  <c:v>10120</c:v>
                </c:pt>
              </c:numCache>
            </c:numRef>
          </c:val>
          <c:smooth val="1"/>
        </c:ser>
        <c:hiLowLines>
          <c:spPr>
            <a:ln w="0">
              <a:noFill/>
            </a:ln>
          </c:spPr>
        </c:hiLowLines>
        <c:marker val="0"/>
        <c:axId val="44493096"/>
        <c:axId val="37816430"/>
      </c:lineChart>
      <c:catAx>
        <c:axId val="4449309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7816430"/>
        <c:crosses val="autoZero"/>
        <c:auto val="1"/>
        <c:lblAlgn val="ctr"/>
        <c:lblOffset val="100"/>
        <c:noMultiLvlLbl val="0"/>
      </c:catAx>
      <c:valAx>
        <c:axId val="3781643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Vault salvage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49309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Total to reach level 10</a:t>
            </a:r>
          </a:p>
        </c:rich>
      </c:tx>
      <c:overlay val="0"/>
      <c:spPr>
        <a:noFill/>
        <a:ln w="0">
          <a:noFill/>
        </a:ln>
      </c:spPr>
    </c:title>
    <c:autoTitleDeleted val="0"/>
    <c:plotArea>
      <c:barChart>
        <c:barDir val="bar"/>
        <c:grouping val="clustered"/>
        <c:varyColors val="0"/>
        <c:ser>
          <c:idx val="0"/>
          <c:order val="0"/>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'Garage Costs'!$B$5:$L$5</c:f>
              <c:strCache>
                <c:ptCount val="11"/>
                <c:pt idx="0">
                  <c:v>Missile Silos</c:v>
                </c:pt>
                <c:pt idx="1">
                  <c:v>Ion Shield Nodes</c:v>
                </c:pt>
                <c:pt idx="2">
                  <c:v>Hull Plating</c:v>
                </c:pt>
                <c:pt idx="3">
                  <c:v>Tesla Coils</c:v>
                </c:pt>
                <c:pt idx="4">
                  <c:v>Laser Arrays</c:v>
                </c:pt>
                <c:pt idx="5">
                  <c:v>Salvage Vacuum</c:v>
                </c:pt>
                <c:pt idx="6">
                  <c:v>Deadstick Pilot</c:v>
                </c:pt>
                <c:pt idx="7">
                  <c:v>Pulse Emitter</c:v>
                </c:pt>
                <c:pt idx="8">
                  <c:v>Gravity Well</c:v>
                </c:pt>
                <c:pt idx="9">
                  <c:v>Hellstitch</c:v>
                </c:pt>
                <c:pt idx="10">
                  <c:v>Aegis Net</c:v>
                </c:pt>
              </c:strCache>
            </c:strRef>
          </c:cat>
          <c:val>
            <c:numRef>
              <c:f>'Garage Costs'!$B$16:$L$16</c:f>
              <c:numCache>
                <c:formatCode>#,##0</c:formatCode>
                <c:ptCount val="11"/>
                <c:pt idx="0">
                  <c:v>21010</c:v>
                </c:pt>
                <c:pt idx="1">
                  <c:v>21010</c:v>
                </c:pt>
                <c:pt idx="2">
                  <c:v>17510</c:v>
                </c:pt>
                <c:pt idx="3">
                  <c:v>42010</c:v>
                </c:pt>
                <c:pt idx="4">
                  <c:v>24515</c:v>
                </c:pt>
                <c:pt idx="5">
                  <c:v>31505</c:v>
                </c:pt>
                <c:pt idx="6">
                  <c:v>37065</c:v>
                </c:pt>
                <c:pt idx="7">
                  <c:v>28010</c:v>
                </c:pt>
                <c:pt idx="8">
                  <c:v>38515</c:v>
                </c:pt>
                <c:pt idx="9">
                  <c:v>45515</c:v>
                </c:pt>
                <c:pt idx="10">
                  <c:v>42010</c:v>
                </c:pt>
              </c:numCache>
            </c:numRef>
          </c:val>
        </c:ser>
        <c:gapWidth val="150"/>
        <c:overlap val="0"/>
        <c:axId val="21704013"/>
        <c:axId val="27844150"/>
      </c:barChart>
      <c:catAx>
        <c:axId val="21704013"/>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844150"/>
        <c:crosses val="autoZero"/>
        <c:auto val="1"/>
        <c:lblAlgn val="ctr"/>
        <c:lblOffset val="100"/>
        <c:noMultiLvlLbl val="0"/>
      </c:catAx>
      <c:valAx>
        <c:axId val="2784415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70401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Volley damage and DPS by level</a:t>
            </a:r>
          </a:p>
        </c:rich>
      </c:tx>
      <c:overlay val="0"/>
      <c:spPr>
        <a:noFill/>
        <a:ln w="0">
          <a:noFill/>
        </a:ln>
      </c:spPr>
    </c:title>
    <c:autoTitleDeleted val="0"/>
    <c:plotArea>
      <c:lineChart>
        <c:grouping val="standard"/>
        <c:varyColors val="0"/>
        <c:ser>
          <c:idx val="0"/>
          <c:order val="0"/>
          <c:tx>
            <c:strRef>
              <c:f>'Missile Silos'!I14</c:f>
              <c:strCache>
                <c:ptCount val="1"/>
                <c:pt idx="0">
                  <c:v>Volley damage</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'Missile Silos'!$A$15:$A$25</c:f>
              <c:strCache>
                <c:ptCount val="11"/>
                <c:pt idx="0">
                  <c:v>0</c:v>
                </c:pt>
                <c:pt idx="1">
                  <c:v>1</c:v>
                </c:pt>
                <c:pt idx="2">
                  <c:v>2</c:v>
                </c:pt>
                <c:pt idx="3">
                  <c:v>3</c:v>
                </c:pt>
                <c:pt idx="4">
                  <c:v>4</c:v>
                </c:pt>
                <c:pt idx="5">
                  <c:v>5</c:v>
                </c:pt>
                <c:pt idx="6">
                  <c:v>6</c:v>
                </c:pt>
                <c:pt idx="7">
                  <c:v>7</c:v>
                </c:pt>
                <c:pt idx="8">
                  <c:v>8</c:v>
                </c:pt>
                <c:pt idx="9">
                  <c:v>9</c:v>
                </c:pt>
                <c:pt idx="10">
                  <c:v>10</c:v>
                </c:pt>
              </c:strCache>
            </c:strRef>
          </c:cat>
          <c:val>
            <c:numRef>
              <c:f>'Missile Silos'!$I$15:$I$25</c:f>
              <c:numCache>
                <c:formatCode>0</c:formatCode>
                <c:ptCount val="11"/>
                <c:pt idx="0">
                  <c:v>18</c:v>
                </c:pt>
                <c:pt idx="1">
                  <c:v>21</c:v>
                </c:pt>
                <c:pt idx="2">
                  <c:v>24</c:v>
                </c:pt>
                <c:pt idx="3">
                  <c:v>36</c:v>
                </c:pt>
                <c:pt idx="4">
                  <c:v>40</c:v>
                </c:pt>
                <c:pt idx="5">
                  <c:v>44</c:v>
                </c:pt>
                <c:pt idx="6">
                  <c:v>48</c:v>
                </c:pt>
                <c:pt idx="7">
                  <c:v>52</c:v>
                </c:pt>
                <c:pt idx="8">
                  <c:v>56</c:v>
                </c:pt>
                <c:pt idx="9">
                  <c:v>60</c:v>
                </c:pt>
                <c:pt idx="10">
                  <c:v>64</c:v>
                </c:pt>
              </c:numCache>
            </c:numRef>
          </c:val>
          <c:smooth val="1"/>
        </c:ser>
        <c:hiLowLines>
          <c:spPr>
            <a:ln w="0">
              <a:noFill/>
            </a:ln>
          </c:spPr>
        </c:hiLowLines>
        <c:marker val="0"/>
        <c:axId val="45594159"/>
        <c:axId val="10294301"/>
      </c:lineChart>
      <c:lineChart>
        <c:grouping val="standard"/>
        <c:varyColors val="0"/>
        <c:ser>
          <c:idx val="1"/>
          <c:order val="1"/>
          <c:tx>
            <c:strRef>
              <c:f>'Missile Silos'!J14</c:f>
              <c:strCache>
                <c:ptCount val="1"/>
                <c:pt idx="0">
                  <c:v>Damage per second</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'Missile Silos'!$A$15:$A$25</c:f>
              <c:strCache>
                <c:ptCount val="11"/>
                <c:pt idx="0">
                  <c:v>0</c:v>
                </c:pt>
                <c:pt idx="1">
                  <c:v>1</c:v>
                </c:pt>
                <c:pt idx="2">
                  <c:v>2</c:v>
                </c:pt>
                <c:pt idx="3">
                  <c:v>3</c:v>
                </c:pt>
                <c:pt idx="4">
                  <c:v>4</c:v>
                </c:pt>
                <c:pt idx="5">
                  <c:v>5</c:v>
                </c:pt>
                <c:pt idx="6">
                  <c:v>6</c:v>
                </c:pt>
                <c:pt idx="7">
                  <c:v>7</c:v>
                </c:pt>
                <c:pt idx="8">
                  <c:v>8</c:v>
                </c:pt>
                <c:pt idx="9">
                  <c:v>9</c:v>
                </c:pt>
                <c:pt idx="10">
                  <c:v>10</c:v>
                </c:pt>
              </c:strCache>
            </c:strRef>
          </c:cat>
          <c:val>
            <c:numRef>
              <c:f>'Missile Silos'!$J$15:$J$25</c:f>
              <c:numCache>
                <c:formatCode>0.0</c:formatCode>
                <c:ptCount val="11"/>
                <c:pt idx="0">
                  <c:v>2.57142857142857</c:v>
                </c:pt>
                <c:pt idx="1">
                  <c:v>3.125</c:v>
                </c:pt>
                <c:pt idx="2">
                  <c:v>3.72670807453416</c:v>
                </c:pt>
                <c:pt idx="3">
                  <c:v>5.84415584415584</c:v>
                </c:pt>
                <c:pt idx="4">
                  <c:v>6.80272108843538</c:v>
                </c:pt>
                <c:pt idx="5">
                  <c:v>7.85714285714286</c:v>
                </c:pt>
                <c:pt idx="6">
                  <c:v>9.02255639097744</c:v>
                </c:pt>
                <c:pt idx="7">
                  <c:v>10.3174603174603</c:v>
                </c:pt>
                <c:pt idx="8">
                  <c:v>11.7647058823529</c:v>
                </c:pt>
                <c:pt idx="9">
                  <c:v>13.3928571428571</c:v>
                </c:pt>
                <c:pt idx="10">
                  <c:v>15.2380952380952</c:v>
                </c:pt>
              </c:numCache>
            </c:numRef>
          </c:val>
          <c:smooth val="1"/>
        </c:ser>
        <c:hiLowLines>
          <c:spPr>
            <a:ln w="0">
              <a:noFill/>
            </a:ln>
          </c:spPr>
        </c:hiLowLines>
        <c:marker val="0"/>
        <c:axId val="45736941"/>
        <c:axId val="45156106"/>
      </c:lineChart>
      <c:catAx>
        <c:axId val="4559415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294301"/>
        <c:crosses val="autoZero"/>
        <c:auto val="1"/>
        <c:lblAlgn val="ctr"/>
        <c:lblOffset val="100"/>
        <c:noMultiLvlLbl val="0"/>
      </c:catAx>
      <c:valAx>
        <c:axId val="1029430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Volley damage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594159"/>
        <c:crosses val="autoZero"/>
        <c:crossBetween val="between"/>
      </c:valAx>
      <c:catAx>
        <c:axId val="45736941"/>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156106"/>
        <c:crosses val="autoZero"/>
        <c:auto val="1"/>
        <c:lblAlgn val="ctr"/>
        <c:lblOffset val="100"/>
        <c:noMultiLvlLbl val="0"/>
      </c:catAx>
      <c:valAx>
        <c:axId val="45156106"/>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Damage per second</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736941"/>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'Missile Silos'!C14</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'Missile Silos'!$A$15:$A$25</c:f>
              <c:strCache>
                <c:ptCount val="11"/>
                <c:pt idx="0">
                  <c:v>0</c:v>
                </c:pt>
                <c:pt idx="1">
                  <c:v>1</c:v>
                </c:pt>
                <c:pt idx="2">
                  <c:v>2</c:v>
                </c:pt>
                <c:pt idx="3">
                  <c:v>3</c:v>
                </c:pt>
                <c:pt idx="4">
                  <c:v>4</c:v>
                </c:pt>
                <c:pt idx="5">
                  <c:v>5</c:v>
                </c:pt>
                <c:pt idx="6">
                  <c:v>6</c:v>
                </c:pt>
                <c:pt idx="7">
                  <c:v>7</c:v>
                </c:pt>
                <c:pt idx="8">
                  <c:v>8</c:v>
                </c:pt>
                <c:pt idx="9">
                  <c:v>9</c:v>
                </c:pt>
                <c:pt idx="10">
                  <c:v>10</c:v>
                </c:pt>
              </c:strCache>
            </c:strRef>
          </c:cat>
          <c:val>
            <c:numRef>
              <c:f>'Missile Silos'!$C$15:$C$25</c:f>
              <c:numCache>
                <c:formatCode>#,##0</c:formatCode>
                <c:ptCount val="11"/>
                <c:pt idx="1">
                  <c:v>90</c:v>
                </c:pt>
                <c:pt idx="2">
                  <c:v>305</c:v>
                </c:pt>
                <c:pt idx="3">
                  <c:v>615</c:v>
                </c:pt>
                <c:pt idx="4">
                  <c:v>1020</c:v>
                </c:pt>
                <c:pt idx="5">
                  <c:v>1505</c:v>
                </c:pt>
                <c:pt idx="6">
                  <c:v>2070</c:v>
                </c:pt>
                <c:pt idx="7">
                  <c:v>2710</c:v>
                </c:pt>
                <c:pt idx="8">
                  <c:v>3425</c:v>
                </c:pt>
                <c:pt idx="9">
                  <c:v>4210</c:v>
                </c:pt>
                <c:pt idx="10">
                  <c:v>5060</c:v>
                </c:pt>
              </c:numCache>
            </c:numRef>
          </c:val>
        </c:ser>
        <c:gapWidth val="150"/>
        <c:overlap val="0"/>
        <c:axId val="66431703"/>
        <c:axId val="68708815"/>
      </c:barChart>
      <c:catAx>
        <c:axId val="6643170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708815"/>
        <c:crosses val="autoZero"/>
        <c:auto val="1"/>
        <c:lblAlgn val="ctr"/>
        <c:lblOffset val="100"/>
        <c:noMultiLvlLbl val="0"/>
      </c:catAx>
      <c:valAx>
        <c:axId val="6870881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43170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Shield cells and recharge rate by level</a:t>
            </a:r>
          </a:p>
        </c:rich>
      </c:tx>
      <c:overlay val="0"/>
      <c:spPr>
        <a:noFill/>
        <a:ln w="0">
          <a:noFill/>
        </a:ln>
      </c:spPr>
    </c:title>
    <c:autoTitleDeleted val="0"/>
    <c:plotArea>
      <c:lineChart>
        <c:grouping val="standard"/>
        <c:varyColors val="0"/>
        <c:ser>
          <c:idx val="0"/>
          <c:order val="0"/>
          <c:tx>
            <c:strRef>
              <c:f>'Ion Shield Nodes'!E12</c:f>
              <c:strCache>
                <c:ptCount val="1"/>
                <c:pt idx="0">
                  <c:v>Shield cells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'Ion Shield Nodes'!$A$13:$A$23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'Ion Shield Nodes'!$E$13:$E$23</c:f>
              <c:numCache>
                <c:formatCode>0</c:formatCode>
                <c:ptCount val="11"/>
                <c:pt idx="0">
                  <c:v>5</c:v>
                </c:pt>
                <c:pt idx="1">
                  <c:v>6</c:v>
                </c:pt>
                <c:pt idx="2">
                  <c:v>7</c:v>
                </c:pt>
                <c:pt idx="3">
                  <c:v>9</c:v>
                </c:pt>
                <c:pt idx="4">
                  <c:v>10</c:v>
                </c:pt>
                <c:pt idx="5">
                  <c:v>11</c:v>
                </c:pt>
                <c:pt idx="6">
                  <c:v>12</c:v>
                </c:pt>
                <c:pt idx="7">
                  <c:v>13</c:v>
                </c:pt>
                <c:pt idx="8">
                  <c:v>14</c:v>
                </c:pt>
                <c:pt idx="9">
                  <c:v>15</c:v>
                </c:pt>
                <c:pt idx="10">
                  <c:v>16</c:v>
                </c:pt>
              </c:numCache>
            </c:numRef>
          </c:val>
          <c:smooth val="1"/>
        </c:ser>
        <c:hiLowLines>
          <c:spPr>
            <a:ln w="0">
              <a:noFill/>
            </a:ln>
          </c:spPr>
        </c:hiLowLines>
        <c:marker val="0"/>
        <c:axId val="13505538"/>
        <c:axId val="97335872"/>
      </c:lineChart>
      <c:lineChart>
        <c:grouping val="standard"/>
        <c:varyColors val="0"/>
        <c:ser>
          <c:idx val="1"/>
          <c:order val="1"/>
          <c:tx>
            <c:strRef>
              <c:f>'Ion Shield Nodes'!G12</c:f>
              <c:strCache>
                <c:ptCount val="1"/>
                <c:pt idx="0">
                  <c:v>Cells per minute</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'Ion Shield Nodes'!$A$13:$A$23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'Ion Shield Nodes'!$G$13:$G$23</c:f>
              <c:numCache>
                <c:formatCode>0.0</c:formatCode>
                <c:ptCount val="11"/>
                <c:pt idx="0">
                  <c:v>12</c:v>
                </c:pt>
                <c:pt idx="1">
                  <c:v>12.7659574468085</c:v>
                </c:pt>
                <c:pt idx="2">
                  <c:v>13.6363636363636</c:v>
                </c:pt>
                <c:pt idx="3">
                  <c:v>14.6341463414634</c:v>
                </c:pt>
                <c:pt idx="4">
                  <c:v>15.7894736842105</c:v>
                </c:pt>
                <c:pt idx="5">
                  <c:v>17.1428571428571</c:v>
                </c:pt>
                <c:pt idx="6">
                  <c:v>18.75</c:v>
                </c:pt>
                <c:pt idx="7">
                  <c:v>20.6896551724138</c:v>
                </c:pt>
                <c:pt idx="8">
                  <c:v>23.0769230769231</c:v>
                </c:pt>
                <c:pt idx="9">
                  <c:v>26.0869565217391</c:v>
                </c:pt>
                <c:pt idx="10">
                  <c:v>30</c:v>
                </c:pt>
              </c:numCache>
            </c:numRef>
          </c:val>
          <c:smooth val="1"/>
        </c:ser>
        <c:hiLowLines>
          <c:spPr>
            <a:ln w="0">
              <a:noFill/>
            </a:ln>
          </c:spPr>
        </c:hiLowLines>
        <c:marker val="0"/>
        <c:axId val="74620353"/>
        <c:axId val="84168495"/>
      </c:lineChart>
      <c:catAx>
        <c:axId val="1350553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335872"/>
        <c:crosses val="autoZero"/>
        <c:auto val="1"/>
        <c:lblAlgn val="ctr"/>
        <c:lblOffset val="100"/>
        <c:noMultiLvlLbl val="0"/>
      </c:catAx>
      <c:valAx>
        <c:axId val="9733587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Shield cells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505538"/>
        <c:crosses val="autoZero"/>
        <c:crossBetween val="between"/>
      </c:valAx>
      <c:catAx>
        <c:axId val="74620353"/>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4168495"/>
        <c:crosses val="autoZero"/>
        <c:auto val="1"/>
        <c:lblAlgn val="ctr"/>
        <c:lblOffset val="100"/>
        <c:noMultiLvlLbl val="0"/>
      </c:catAx>
      <c:valAx>
        <c:axId val="84168495"/>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Cells per minute</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620353"/>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'Ion Shield Nodes'!C12</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'Ion Shield Nodes'!$A$13:$A$23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'Ion Shield Nodes'!$C$13:$C$23</c:f>
              <c:numCache>
                <c:formatCode>#,##0</c:formatCode>
                <c:ptCount val="11"/>
                <c:pt idx="1">
                  <c:v>90</c:v>
                </c:pt>
                <c:pt idx="2">
                  <c:v>305</c:v>
                </c:pt>
                <c:pt idx="3">
                  <c:v>615</c:v>
                </c:pt>
                <c:pt idx="4">
                  <c:v>1020</c:v>
                </c:pt>
                <c:pt idx="5">
                  <c:v>1505</c:v>
                </c:pt>
                <c:pt idx="6">
                  <c:v>2070</c:v>
                </c:pt>
                <c:pt idx="7">
                  <c:v>2710</c:v>
                </c:pt>
                <c:pt idx="8">
                  <c:v>3425</c:v>
                </c:pt>
                <c:pt idx="9">
                  <c:v>4210</c:v>
                </c:pt>
                <c:pt idx="10">
                  <c:v>5060</c:v>
                </c:pt>
              </c:numCache>
            </c:numRef>
          </c:val>
        </c:ser>
        <c:gapWidth val="150"/>
        <c:overlap val="0"/>
        <c:axId val="52043209"/>
        <c:axId val="17234448"/>
      </c:barChart>
      <c:catAx>
        <c:axId val="5204320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234448"/>
        <c:crosses val="autoZero"/>
        <c:auto val="1"/>
        <c:lblAlgn val="ctr"/>
        <c:lblOffset val="100"/>
        <c:noMultiLvlLbl val="0"/>
      </c:catAx>
      <c:valAx>
        <c:axId val="1723444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04320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Core integrity by level</a:t>
            </a:r>
          </a:p>
        </c:rich>
      </c:tx>
      <c:overlay val="0"/>
      <c:spPr>
        <a:noFill/>
        <a:ln w="0">
          <a:noFill/>
        </a:ln>
      </c:spPr>
    </c:title>
    <c:autoTitleDeleted val="0"/>
    <c:plotArea>
      <c:lineChart>
        <c:grouping val="standard"/>
        <c:varyColors val="0"/>
        <c:ser>
          <c:idx val="0"/>
          <c:order val="0"/>
          <c:tx>
            <c:strRef>
              <c:f>'Hull Plating'!E11</c:f>
              <c:strCache>
                <c:ptCount val="1"/>
                <c:pt idx="0">
                  <c:v>Core integrity</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'Hull Plating'!$A$12:$A$22</c:f>
              <c:strCache>
                <c:ptCount val="11"/>
                <c:pt idx="0">
                  <c:v>0</c:v>
                </c:pt>
                <c:pt idx="1">
                  <c:v>1</c:v>
                </c:pt>
                <c:pt idx="2">
                  <c:v>2</c:v>
                </c:pt>
                <c:pt idx="3">
                  <c:v>3</c:v>
                </c:pt>
                <c:pt idx="4">
                  <c:v>4</c:v>
                </c:pt>
                <c:pt idx="5">
                  <c:v>5</c:v>
                </c:pt>
                <c:pt idx="6">
                  <c:v>6</c:v>
                </c:pt>
                <c:pt idx="7">
                  <c:v>7</c:v>
                </c:pt>
                <c:pt idx="8">
                  <c:v>8</c:v>
                </c:pt>
                <c:pt idx="9">
                  <c:v>9</c:v>
                </c:pt>
                <c:pt idx="10">
                  <c:v>10</c:v>
                </c:pt>
              </c:strCache>
            </c:strRef>
          </c:cat>
          <c:val>
            <c:numRef>
              <c:f>'Hull Plating'!$E$12:$E$22</c:f>
              <c:numCache>
                <c:formatCode>0</c:formatCode>
                <c:ptCount val="11"/>
                <c:pt idx="0">
                  <c:v>10</c:v>
                </c:pt>
                <c:pt idx="1">
                  <c:v>12</c:v>
                </c:pt>
                <c:pt idx="2">
                  <c:v>14</c:v>
                </c:pt>
                <c:pt idx="3">
                  <c:v>16</c:v>
                </c:pt>
                <c:pt idx="4">
                  <c:v>18</c:v>
                </c:pt>
                <c:pt idx="5">
                  <c:v>20</c:v>
                </c:pt>
                <c:pt idx="6">
                  <c:v>22</c:v>
                </c:pt>
                <c:pt idx="7">
                  <c:v>24</c:v>
                </c:pt>
                <c:pt idx="8">
                  <c:v>26</c:v>
                </c:pt>
                <c:pt idx="9">
                  <c:v>28</c:v>
                </c:pt>
                <c:pt idx="10">
                  <c:v>30</c:v>
                </c:pt>
              </c:numCache>
            </c:numRef>
          </c:val>
          <c:smooth val="1"/>
        </c:ser>
        <c:hiLowLines>
          <c:spPr>
            <a:ln w="0">
              <a:noFill/>
            </a:ln>
          </c:spPr>
        </c:hiLowLines>
        <c:marker val="0"/>
        <c:axId val="70088607"/>
        <c:axId val="98074786"/>
      </c:lineChart>
      <c:catAx>
        <c:axId val="7008860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074786"/>
        <c:crosses val="autoZero"/>
        <c:auto val="1"/>
        <c:lblAlgn val="ctr"/>
        <c:lblOffset val="100"/>
        <c:noMultiLvlLbl val="0"/>
      </c:catAx>
      <c:valAx>
        <c:axId val="9807478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Core integrity</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08860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'Hull Plating'!C11</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'Hull Plating'!$A$12:$A$22</c:f>
              <c:strCache>
                <c:ptCount val="11"/>
                <c:pt idx="0">
                  <c:v>0</c:v>
                </c:pt>
                <c:pt idx="1">
                  <c:v>1</c:v>
                </c:pt>
                <c:pt idx="2">
                  <c:v>2</c:v>
                </c:pt>
                <c:pt idx="3">
                  <c:v>3</c:v>
                </c:pt>
                <c:pt idx="4">
                  <c:v>4</c:v>
                </c:pt>
                <c:pt idx="5">
                  <c:v>5</c:v>
                </c:pt>
                <c:pt idx="6">
                  <c:v>6</c:v>
                </c:pt>
                <c:pt idx="7">
                  <c:v>7</c:v>
                </c:pt>
                <c:pt idx="8">
                  <c:v>8</c:v>
                </c:pt>
                <c:pt idx="9">
                  <c:v>9</c:v>
                </c:pt>
                <c:pt idx="10">
                  <c:v>10</c:v>
                </c:pt>
              </c:strCache>
            </c:strRef>
          </c:cat>
          <c:val>
            <c:numRef>
              <c:f>'Hull Plating'!$C$12:$C$22</c:f>
              <c:numCache>
                <c:formatCode>#,##0</c:formatCode>
                <c:ptCount val="11"/>
                <c:pt idx="1">
                  <c:v>75</c:v>
                </c:pt>
                <c:pt idx="2">
                  <c:v>250</c:v>
                </c:pt>
                <c:pt idx="3">
                  <c:v>515</c:v>
                </c:pt>
                <c:pt idx="4">
                  <c:v>850</c:v>
                </c:pt>
                <c:pt idx="5">
                  <c:v>1255</c:v>
                </c:pt>
                <c:pt idx="6">
                  <c:v>1725</c:v>
                </c:pt>
                <c:pt idx="7">
                  <c:v>2260</c:v>
                </c:pt>
                <c:pt idx="8">
                  <c:v>2855</c:v>
                </c:pt>
                <c:pt idx="9">
                  <c:v>3505</c:v>
                </c:pt>
                <c:pt idx="10">
                  <c:v>4220</c:v>
                </c:pt>
              </c:numCache>
            </c:numRef>
          </c:val>
        </c:ser>
        <c:gapWidth val="150"/>
        <c:overlap val="0"/>
        <c:axId val="23356649"/>
        <c:axId val="90999073"/>
      </c:barChart>
      <c:catAx>
        <c:axId val="2335664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999073"/>
        <c:crosses val="autoZero"/>
        <c:auto val="1"/>
        <c:lblAlgn val="ctr"/>
        <c:lblOffset val="100"/>
        <c:noMultiLvlLbl val="0"/>
      </c:catAx>
      <c:valAx>
        <c:axId val="9099907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35664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Tesla tower DPS and chain damage by level</a:t>
            </a:r>
          </a:p>
        </c:rich>
      </c:tx>
      <c:overlay val="0"/>
      <c:spPr>
        <a:noFill/>
        <a:ln w="0">
          <a:noFill/>
        </a:ln>
      </c:spPr>
    </c:title>
    <c:autoTitleDeleted val="0"/>
    <c:plotArea>
      <c:lineChart>
        <c:grouping val="standard"/>
        <c:varyColors val="0"/>
        <c:ser>
          <c:idx val="0"/>
          <c:order val="0"/>
          <c:tx>
            <c:strRef>
              <c:f>'Tesla Coils'!I16</c:f>
              <c:strCache>
                <c:ptCount val="1"/>
                <c:pt idx="0">
                  <c:v>Damage per second (one target)</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'Tesla Coils'!$A$17:$A$26</c:f>
              <c:strCache>
                <c:ptCount val="10"/>
                <c:pt idx="0">
                  <c:v>1</c:v>
                </c:pt>
                <c:pt idx="1">
                  <c:v>2</c:v>
                </c:pt>
                <c:pt idx="2">
                  <c:v>3</c:v>
                </c:pt>
                <c:pt idx="3">
                  <c:v>4</c:v>
                </c:pt>
                <c:pt idx="4">
                  <c:v>5</c:v>
                </c:pt>
                <c:pt idx="5">
                  <c:v>6</c:v>
                </c:pt>
                <c:pt idx="6">
                  <c:v>7</c:v>
                </c:pt>
                <c:pt idx="7">
                  <c:v>8</c:v>
                </c:pt>
                <c:pt idx="8">
                  <c:v>9</c:v>
                </c:pt>
                <c:pt idx="9">
                  <c:v>10</c:v>
                </c:pt>
              </c:strCache>
            </c:strRef>
          </c:cat>
          <c:val>
            <c:numRef>
              <c:f>'Tesla Coils'!$I$17:$I$26</c:f>
              <c:numCache>
                <c:formatCode>0.0</c:formatCode>
                <c:ptCount val="10"/>
                <c:pt idx="0">
                  <c:v>1.81818181818182</c:v>
                </c:pt>
                <c:pt idx="1">
                  <c:v>1.81818181818182</c:v>
                </c:pt>
                <c:pt idx="2">
                  <c:v>2.72727272727273</c:v>
                </c:pt>
                <c:pt idx="3">
                  <c:v>2.72727272727273</c:v>
                </c:pt>
                <c:pt idx="4">
                  <c:v>2.72727272727273</c:v>
                </c:pt>
                <c:pt idx="5">
                  <c:v>4.28571428571429</c:v>
                </c:pt>
                <c:pt idx="6">
                  <c:v>4.28571428571429</c:v>
                </c:pt>
                <c:pt idx="7">
                  <c:v>4.28571428571429</c:v>
                </c:pt>
                <c:pt idx="8">
                  <c:v>4.28571428571429</c:v>
                </c:pt>
                <c:pt idx="9">
                  <c:v>4.28571428571429</c:v>
                </c:pt>
              </c:numCache>
            </c:numRef>
          </c:val>
          <c:smooth val="1"/>
        </c:ser>
        <c:hiLowLines>
          <c:spPr>
            <a:ln w="0">
              <a:noFill/>
            </a:ln>
          </c:spPr>
        </c:hiLowLines>
        <c:marker val="0"/>
        <c:axId val="75905022"/>
        <c:axId val="95252764"/>
      </c:lineChart>
      <c:lineChart>
        <c:grouping val="standard"/>
        <c:varyColors val="0"/>
        <c:ser>
          <c:idx val="1"/>
          <c:order val="1"/>
          <c:tx>
            <c:strRef>
              <c:f>'Tesla Coils'!J16</c:f>
              <c:strCache>
                <c:ptCount val="1"/>
                <c:pt idx="0">
                  <c:v>Max damage per arc chain</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'Tesla Coils'!$A$17:$A$26</c:f>
              <c:strCache>
                <c:ptCount val="10"/>
                <c:pt idx="0">
                  <c:v>1</c:v>
                </c:pt>
                <c:pt idx="1">
                  <c:v>2</c:v>
                </c:pt>
                <c:pt idx="2">
                  <c:v>3</c:v>
                </c:pt>
                <c:pt idx="3">
                  <c:v>4</c:v>
                </c:pt>
                <c:pt idx="4">
                  <c:v>5</c:v>
                </c:pt>
                <c:pt idx="5">
                  <c:v>6</c:v>
                </c:pt>
                <c:pt idx="6">
                  <c:v>7</c:v>
                </c:pt>
                <c:pt idx="7">
                  <c:v>8</c:v>
                </c:pt>
                <c:pt idx="8">
                  <c:v>9</c:v>
                </c:pt>
                <c:pt idx="9">
                  <c:v>10</c:v>
                </c:pt>
              </c:strCache>
            </c:strRef>
          </c:cat>
          <c:val>
            <c:numRef>
              <c:f>'Tesla Coils'!$J$17:$J$26</c:f>
              <c:numCache>
                <c:formatCode>0</c:formatCode>
                <c:ptCount val="10"/>
                <c:pt idx="0">
                  <c:v>10</c:v>
                </c:pt>
                <c:pt idx="1">
                  <c:v>10</c:v>
                </c:pt>
                <c:pt idx="2">
                  <c:v>18</c:v>
                </c:pt>
                <c:pt idx="3">
                  <c:v>18</c:v>
                </c:pt>
                <c:pt idx="4">
                  <c:v>21</c:v>
                </c:pt>
                <c:pt idx="5">
                  <c:v>21</c:v>
                </c:pt>
                <c:pt idx="6">
                  <c:v>24</c:v>
                </c:pt>
                <c:pt idx="7">
                  <c:v>24</c:v>
                </c:pt>
                <c:pt idx="8">
                  <c:v>27</c:v>
                </c:pt>
                <c:pt idx="9">
                  <c:v>27</c:v>
                </c:pt>
              </c:numCache>
            </c:numRef>
          </c:val>
          <c:smooth val="1"/>
        </c:ser>
        <c:hiLowLines>
          <c:spPr>
            <a:ln w="0">
              <a:noFill/>
            </a:ln>
          </c:spPr>
        </c:hiLowLines>
        <c:marker val="0"/>
        <c:axId val="64056535"/>
        <c:axId val="30626097"/>
      </c:lineChart>
      <c:catAx>
        <c:axId val="7590502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252764"/>
        <c:crosses val="autoZero"/>
        <c:auto val="1"/>
        <c:lblAlgn val="ctr"/>
        <c:lblOffset val="100"/>
        <c:noMultiLvlLbl val="0"/>
      </c:catAx>
      <c:valAx>
        <c:axId val="9525276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Damage per second (one target)</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905022"/>
        <c:crosses val="autoZero"/>
        <c:crossBetween val="between"/>
      </c:valAx>
      <c:catAx>
        <c:axId val="64056535"/>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626097"/>
        <c:crosses val="autoZero"/>
        <c:auto val="1"/>
        <c:lblAlgn val="ctr"/>
        <c:lblOffset val="100"/>
        <c:noMultiLvlLbl val="0"/>
      </c:catAx>
      <c:valAx>
        <c:axId val="30626097"/>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Max damage per arc chain</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056535"/>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'Tesla Coils'!C16</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'Tesla Coils'!$A$17:$A$26</c:f>
              <c:strCache>
                <c:ptCount val="10"/>
                <c:pt idx="0">
                  <c:v>1</c:v>
                </c:pt>
                <c:pt idx="1">
                  <c:v>2</c:v>
                </c:pt>
                <c:pt idx="2">
                  <c:v>3</c:v>
                </c:pt>
                <c:pt idx="3">
                  <c:v>4</c:v>
                </c:pt>
                <c:pt idx="4">
                  <c:v>5</c:v>
                </c:pt>
                <c:pt idx="5">
                  <c:v>6</c:v>
                </c:pt>
                <c:pt idx="6">
                  <c:v>7</c:v>
                </c:pt>
                <c:pt idx="7">
                  <c:v>8</c:v>
                </c:pt>
                <c:pt idx="8">
                  <c:v>9</c:v>
                </c:pt>
                <c:pt idx="9">
                  <c:v>10</c:v>
                </c:pt>
              </c:strCache>
            </c:strRef>
          </c:cat>
          <c:val>
            <c:numRef>
              <c:f>'Tesla Coils'!$C$17:$C$26</c:f>
              <c:numCache>
                <c:formatCode>#,##0</c:formatCode>
                <c:ptCount val="10"/>
                <c:pt idx="0">
                  <c:v>180</c:v>
                </c:pt>
                <c:pt idx="1">
                  <c:v>605</c:v>
                </c:pt>
                <c:pt idx="2">
                  <c:v>1230</c:v>
                </c:pt>
                <c:pt idx="3">
                  <c:v>2035</c:v>
                </c:pt>
                <c:pt idx="4">
                  <c:v>3010</c:v>
                </c:pt>
                <c:pt idx="5">
                  <c:v>4140</c:v>
                </c:pt>
                <c:pt idx="6">
                  <c:v>5420</c:v>
                </c:pt>
                <c:pt idx="7">
                  <c:v>6850</c:v>
                </c:pt>
                <c:pt idx="8">
                  <c:v>8420</c:v>
                </c:pt>
                <c:pt idx="9">
                  <c:v>10120</c:v>
                </c:pt>
              </c:numCache>
            </c:numRef>
          </c:val>
        </c:ser>
        <c:gapWidth val="150"/>
        <c:overlap val="0"/>
        <c:axId val="47636255"/>
        <c:axId val="53721172"/>
      </c:barChart>
      <c:catAx>
        <c:axId val="4763625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721172"/>
        <c:crosses val="autoZero"/>
        <c:auto val="1"/>
        <c:lblAlgn val="ctr"/>
        <c:lblOffset val="100"/>
        <c:noMultiLvlLbl val="0"/>
      </c:catAx>
      <c:valAx>
        <c:axId val="5372117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63625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1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Laser blast radius and shots before overheat</a:t>
            </a:r>
          </a:p>
        </c:rich>
      </c:tx>
      <c:overlay val="0"/>
      <c:spPr>
        <a:noFill/>
        <a:ln w="0">
          <a:noFill/>
        </a:ln>
      </c:spPr>
    </c:title>
    <c:autoTitleDeleted val="0"/>
    <c:plotArea>
      <c:lineChart>
        <c:grouping val="standard"/>
        <c:varyColors val="0"/>
        <c:ser>
          <c:idx val="0"/>
          <c:order val="0"/>
          <c:tx>
            <c:strRef>
              <c:f>'Laser Arrays'!E13</c:f>
              <c:strCache>
                <c:ptCount val="1"/>
                <c:pt idx="0">
                  <c:v>Blast radius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'Laser Arrays'!$A$14:$A$24</c:f>
              <c:strCache>
                <c:ptCount val="11"/>
                <c:pt idx="0">
                  <c:v>0</c:v>
                </c:pt>
                <c:pt idx="1">
                  <c:v>1</c:v>
                </c:pt>
                <c:pt idx="2">
                  <c:v>2</c:v>
                </c:pt>
                <c:pt idx="3">
                  <c:v>3</c:v>
                </c:pt>
                <c:pt idx="4">
                  <c:v>4</c:v>
                </c:pt>
                <c:pt idx="5">
                  <c:v>5</c:v>
                </c:pt>
                <c:pt idx="6">
                  <c:v>6</c:v>
                </c:pt>
                <c:pt idx="7">
                  <c:v>7</c:v>
                </c:pt>
                <c:pt idx="8">
                  <c:v>8</c:v>
                </c:pt>
                <c:pt idx="9">
                  <c:v>9</c:v>
                </c:pt>
                <c:pt idx="10">
                  <c:v>10</c:v>
                </c:pt>
              </c:strCache>
            </c:strRef>
          </c:cat>
          <c:val>
            <c:numRef>
              <c:f>'Laser Arrays'!$E$14:$E$24</c:f>
              <c:numCache>
                <c:formatCode>0.00</c:formatCode>
                <c:ptCount val="11"/>
                <c:pt idx="0">
                  <c:v>1.8</c:v>
                </c:pt>
                <c:pt idx="1">
                  <c:v>1.908</c:v>
                </c:pt>
                <c:pt idx="2">
                  <c:v>2.016</c:v>
                </c:pt>
                <c:pt idx="3">
                  <c:v>2.124</c:v>
                </c:pt>
                <c:pt idx="4">
                  <c:v>2.232</c:v>
                </c:pt>
                <c:pt idx="5">
                  <c:v>2.34</c:v>
                </c:pt>
                <c:pt idx="6">
                  <c:v>2.448</c:v>
                </c:pt>
                <c:pt idx="7">
                  <c:v>2.556</c:v>
                </c:pt>
                <c:pt idx="8">
                  <c:v>2.664</c:v>
                </c:pt>
                <c:pt idx="9">
                  <c:v>2.772</c:v>
                </c:pt>
                <c:pt idx="10">
                  <c:v>2.88</c:v>
                </c:pt>
              </c:numCache>
            </c:numRef>
          </c:val>
          <c:smooth val="1"/>
        </c:ser>
        <c:hiLowLines>
          <c:spPr>
            <a:ln w="0">
              <a:noFill/>
            </a:ln>
          </c:spPr>
        </c:hiLowLines>
        <c:marker val="0"/>
        <c:axId val="6938365"/>
        <c:axId val="22308321"/>
      </c:lineChart>
      <c:lineChart>
        <c:grouping val="standard"/>
        <c:varyColors val="0"/>
        <c:ser>
          <c:idx val="1"/>
          <c:order val="1"/>
          <c:tx>
            <c:strRef>
              <c:f>'Laser Arrays'!I13</c:f>
              <c:strCache>
                <c:ptCount val="1"/>
                <c:pt idx="0">
                  <c:v>Shots from cold to overheat</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'Laser Arrays'!$A$14:$A$24</c:f>
              <c:strCache>
                <c:ptCount val="11"/>
                <c:pt idx="0">
                  <c:v>0</c:v>
                </c:pt>
                <c:pt idx="1">
                  <c:v>1</c:v>
                </c:pt>
                <c:pt idx="2">
                  <c:v>2</c:v>
                </c:pt>
                <c:pt idx="3">
                  <c:v>3</c:v>
                </c:pt>
                <c:pt idx="4">
                  <c:v>4</c:v>
                </c:pt>
                <c:pt idx="5">
                  <c:v>5</c:v>
                </c:pt>
                <c:pt idx="6">
                  <c:v>6</c:v>
                </c:pt>
                <c:pt idx="7">
                  <c:v>7</c:v>
                </c:pt>
                <c:pt idx="8">
                  <c:v>8</c:v>
                </c:pt>
                <c:pt idx="9">
                  <c:v>9</c:v>
                </c:pt>
                <c:pt idx="10">
                  <c:v>10</c:v>
                </c:pt>
              </c:strCache>
            </c:strRef>
          </c:cat>
          <c:val>
            <c:numRef>
              <c:f>'Laser Arrays'!$I$14:$I$24</c:f>
              <c:numCache>
                <c:formatCode>0</c:formatCode>
                <c:ptCount val="11"/>
                <c:pt idx="0">
                  <c:v>10</c:v>
                </c:pt>
                <c:pt idx="1">
                  <c:v>10</c:v>
                </c:pt>
                <c:pt idx="2">
                  <c:v>10</c:v>
                </c:pt>
                <c:pt idx="3">
                  <c:v>10</c:v>
                </c:pt>
                <c:pt idx="4">
                  <c:v>10</c:v>
                </c:pt>
                <c:pt idx="5">
                  <c:v>10</c:v>
                </c:pt>
                <c:pt idx="6">
                  <c:v>15</c:v>
                </c:pt>
                <c:pt idx="7">
                  <c:v>15</c:v>
                </c:pt>
                <c:pt idx="8">
                  <c:v>15</c:v>
                </c:pt>
                <c:pt idx="9">
                  <c:v>15</c:v>
                </c:pt>
                <c:pt idx="10">
                  <c:v>15</c:v>
                </c:pt>
              </c:numCache>
            </c:numRef>
          </c:val>
          <c:smooth val="1"/>
        </c:ser>
        <c:hiLowLines>
          <c:spPr>
            <a:ln w="0">
              <a:noFill/>
            </a:ln>
          </c:spPr>
        </c:hiLowLines>
        <c:marker val="0"/>
        <c:axId val="50114344"/>
        <c:axId val="36032983"/>
      </c:lineChart>
      <c:catAx>
        <c:axId val="693836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308321"/>
        <c:crosses val="autoZero"/>
        <c:auto val="1"/>
        <c:lblAlgn val="ctr"/>
        <c:lblOffset val="100"/>
        <c:noMultiLvlLbl val="0"/>
      </c:catAx>
      <c:valAx>
        <c:axId val="2230832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Blast radius</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38365"/>
        <c:crosses val="autoZero"/>
        <c:crossBetween val="between"/>
      </c:valAx>
      <c:catAx>
        <c:axId val="50114344"/>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032983"/>
        <c:crosses val="autoZero"/>
        <c:auto val="1"/>
        <c:lblAlgn val="ctr"/>
        <c:lblOffset val="100"/>
        <c:noMultiLvlLbl val="0"/>
      </c:catAx>
      <c:valAx>
        <c:axId val="36032983"/>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Shots from cold to overheat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114344"/>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'Laser Arrays'!C13</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'Laser Arrays'!$A$14:$A$24</c:f>
              <c:strCache>
                <c:ptCount val="11"/>
                <c:pt idx="0">
                  <c:v>0</c:v>
                </c:pt>
                <c:pt idx="1">
                  <c:v>1</c:v>
                </c:pt>
                <c:pt idx="2">
                  <c:v>2</c:v>
                </c:pt>
                <c:pt idx="3">
                  <c:v>3</c:v>
                </c:pt>
                <c:pt idx="4">
                  <c:v>4</c:v>
                </c:pt>
                <c:pt idx="5">
                  <c:v>5</c:v>
                </c:pt>
                <c:pt idx="6">
                  <c:v>6</c:v>
                </c:pt>
                <c:pt idx="7">
                  <c:v>7</c:v>
                </c:pt>
                <c:pt idx="8">
                  <c:v>8</c:v>
                </c:pt>
                <c:pt idx="9">
                  <c:v>9</c:v>
                </c:pt>
                <c:pt idx="10">
                  <c:v>10</c:v>
                </c:pt>
              </c:strCache>
            </c:strRef>
          </c:cat>
          <c:val>
            <c:numRef>
              <c:f>'Laser Arrays'!$C$14:$C$24</c:f>
              <c:numCache>
                <c:formatCode>#,##0</c:formatCode>
                <c:ptCount val="11"/>
                <c:pt idx="1">
                  <c:v>105</c:v>
                </c:pt>
                <c:pt idx="2">
                  <c:v>355</c:v>
                </c:pt>
                <c:pt idx="3">
                  <c:v>720</c:v>
                </c:pt>
                <c:pt idx="4">
                  <c:v>1190</c:v>
                </c:pt>
                <c:pt idx="5">
                  <c:v>1755</c:v>
                </c:pt>
                <c:pt idx="6">
                  <c:v>2415</c:v>
                </c:pt>
                <c:pt idx="7">
                  <c:v>3165</c:v>
                </c:pt>
                <c:pt idx="8">
                  <c:v>3995</c:v>
                </c:pt>
                <c:pt idx="9">
                  <c:v>4910</c:v>
                </c:pt>
                <c:pt idx="10">
                  <c:v>5905</c:v>
                </c:pt>
              </c:numCache>
            </c:numRef>
          </c:val>
        </c:ser>
        <c:gapWidth val="150"/>
        <c:overlap val="0"/>
        <c:axId val="93679264"/>
        <c:axId val="58079681"/>
      </c:barChart>
      <c:catAx>
        <c:axId val="9367926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8079681"/>
        <c:crosses val="autoZero"/>
        <c:auto val="1"/>
        <c:lblAlgn val="ctr"/>
        <c:lblOffset val="100"/>
        <c:noMultiLvlLbl val="0"/>
      </c:catAx>
      <c:valAx>
        <c:axId val="58079681"/>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367926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1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Salvage multiplier and loss recovery</a:t>
            </a:r>
          </a:p>
        </c:rich>
      </c:tx>
      <c:overlay val="0"/>
      <c:spPr>
        <a:noFill/>
        <a:ln w="0">
          <a:noFill/>
        </a:ln>
      </c:spPr>
    </c:title>
    <c:autoTitleDeleted val="0"/>
    <c:plotArea>
      <c:lineChart>
        <c:grouping val="standard"/>
        <c:varyColors val="0"/>
        <c:ser>
          <c:idx val="0"/>
          <c:order val="0"/>
          <c:tx>
            <c:strRef>
              <c:f>'Salvage Vacuum'!E12</c:f>
              <c:strCache>
                <c:ptCount val="1"/>
                <c:pt idx="0">
                  <c:v>Salvage multiplier</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'Salvage Vacuum'!$A$13:$A$23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'Salvage Vacuum'!$E$13:$E$23</c:f>
              <c:numCache>
                <c:formatCode>0.00\×</c:formatCode>
                <c:ptCount val="11"/>
                <c:pt idx="0">
                  <c:v>1</c:v>
                </c:pt>
                <c:pt idx="1">
                  <c:v>1.08</c:v>
                </c:pt>
                <c:pt idx="2">
                  <c:v>1.16</c:v>
                </c:pt>
                <c:pt idx="3">
                  <c:v>1.24</c:v>
                </c:pt>
                <c:pt idx="4">
                  <c:v>1.32</c:v>
                </c:pt>
                <c:pt idx="5">
                  <c:v>1.45</c:v>
                </c:pt>
                <c:pt idx="6">
                  <c:v>1.53</c:v>
                </c:pt>
                <c:pt idx="7">
                  <c:v>1.61</c:v>
                </c:pt>
                <c:pt idx="8">
                  <c:v>1.69</c:v>
                </c:pt>
                <c:pt idx="9">
                  <c:v>1.77</c:v>
                </c:pt>
                <c:pt idx="10">
                  <c:v>1.85</c:v>
                </c:pt>
              </c:numCache>
            </c:numRef>
          </c:val>
          <c:smooth val="1"/>
        </c:ser>
        <c:hiLowLines>
          <c:spPr>
            <a:ln w="0">
              <a:noFill/>
            </a:ln>
          </c:spPr>
        </c:hiLowLines>
        <c:marker val="0"/>
        <c:axId val="55650883"/>
        <c:axId val="45850248"/>
      </c:lineChart>
      <c:lineChart>
        <c:grouping val="standard"/>
        <c:varyColors val="0"/>
        <c:ser>
          <c:idx val="1"/>
          <c:order val="1"/>
          <c:tx>
            <c:strRef>
              <c:f>'Salvage Vacuum'!I12</c:f>
              <c:strCache>
                <c:ptCount val="1"/>
                <c:pt idx="0">
                  <c:v>Salvage kept on a loss</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'Salvage Vacuum'!$A$13:$A$23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'Salvage Vacuum'!$I$13:$I$23</c:f>
              <c:numCache>
                <c:formatCode>0%</c:formatCode>
                <c:ptCount val="11"/>
                <c:pt idx="0">
                  <c:v>0.6</c:v>
                </c:pt>
                <c:pt idx="1">
                  <c:v>0.64</c:v>
                </c:pt>
                <c:pt idx="2">
                  <c:v>0.68</c:v>
                </c:pt>
                <c:pt idx="3">
                  <c:v>0.72</c:v>
                </c:pt>
                <c:pt idx="4">
                  <c:v>0.76</c:v>
                </c:pt>
                <c:pt idx="5">
                  <c:v>0.8</c:v>
                </c:pt>
                <c:pt idx="6">
                  <c:v>0.84</c:v>
                </c:pt>
                <c:pt idx="7">
                  <c:v>0.88</c:v>
                </c:pt>
                <c:pt idx="8">
                  <c:v>0.9</c:v>
                </c:pt>
                <c:pt idx="9">
                  <c:v>0.9</c:v>
                </c:pt>
                <c:pt idx="10">
                  <c:v>0.9</c:v>
                </c:pt>
              </c:numCache>
            </c:numRef>
          </c:val>
          <c:smooth val="1"/>
        </c:ser>
        <c:hiLowLines>
          <c:spPr>
            <a:ln w="0">
              <a:noFill/>
            </a:ln>
          </c:spPr>
        </c:hiLowLines>
        <c:marker val="0"/>
        <c:axId val="66081183"/>
        <c:axId val="32052113"/>
      </c:lineChart>
      <c:catAx>
        <c:axId val="5565088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850248"/>
        <c:crosses val="autoZero"/>
        <c:auto val="1"/>
        <c:lblAlgn val="ctr"/>
        <c:lblOffset val="100"/>
        <c:noMultiLvlLbl val="0"/>
      </c:catAx>
      <c:valAx>
        <c:axId val="4585024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Salvage multiplier</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650883"/>
        <c:crosses val="autoZero"/>
        <c:crossBetween val="between"/>
      </c:valAx>
      <c:catAx>
        <c:axId val="66081183"/>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052113"/>
        <c:crosses val="autoZero"/>
        <c:auto val="1"/>
        <c:lblAlgn val="ctr"/>
        <c:lblOffset val="100"/>
        <c:noMultiLvlLbl val="0"/>
      </c:catAx>
      <c:valAx>
        <c:axId val="32052113"/>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Salvage kept on a loss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081183"/>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'Salvage Vacuum'!C12</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'Salvage Vacuum'!$A$13:$A$23</c:f>
              <c:strCache>
                <c:ptCount val="11"/>
                <c:pt idx="0">
                  <c:v>0</c:v>
                </c:pt>
                <c:pt idx="1">
                  <c:v>1</c:v>
                </c:pt>
                <c:pt idx="2">
                  <c:v>2</c:v>
                </c:pt>
                <c:pt idx="3">
                  <c:v>3</c:v>
                </c:pt>
                <c:pt idx="4">
                  <c:v>4</c:v>
                </c:pt>
                <c:pt idx="5">
                  <c:v>5</c:v>
                </c:pt>
                <c:pt idx="6">
                  <c:v>6</c:v>
                </c:pt>
                <c:pt idx="7">
                  <c:v>7</c:v>
                </c:pt>
                <c:pt idx="8">
                  <c:v>8</c:v>
                </c:pt>
                <c:pt idx="9">
                  <c:v>9</c:v>
                </c:pt>
                <c:pt idx="10">
                  <c:v>10</c:v>
                </c:pt>
              </c:strCache>
            </c:strRef>
          </c:cat>
          <c:val>
            <c:numRef>
              <c:f>'Salvage Vacuum'!$C$13:$C$23</c:f>
              <c:numCache>
                <c:formatCode>#,##0</c:formatCode>
                <c:ptCount val="11"/>
                <c:pt idx="1">
                  <c:v>135</c:v>
                </c:pt>
                <c:pt idx="2">
                  <c:v>455</c:v>
                </c:pt>
                <c:pt idx="3">
                  <c:v>925</c:v>
                </c:pt>
                <c:pt idx="4">
                  <c:v>1525</c:v>
                </c:pt>
                <c:pt idx="5">
                  <c:v>2255</c:v>
                </c:pt>
                <c:pt idx="6">
                  <c:v>3105</c:v>
                </c:pt>
                <c:pt idx="7">
                  <c:v>4065</c:v>
                </c:pt>
                <c:pt idx="8">
                  <c:v>5135</c:v>
                </c:pt>
                <c:pt idx="9">
                  <c:v>6315</c:v>
                </c:pt>
                <c:pt idx="10">
                  <c:v>7590</c:v>
                </c:pt>
              </c:numCache>
            </c:numRef>
          </c:val>
        </c:ser>
        <c:gapWidth val="150"/>
        <c:overlap val="0"/>
        <c:axId val="97245074"/>
        <c:axId val="83430235"/>
      </c:barChart>
      <c:catAx>
        <c:axId val="9724507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430235"/>
        <c:crosses val="autoZero"/>
        <c:auto val="1"/>
        <c:lblAlgn val="ctr"/>
        <c:lblOffset val="100"/>
        <c:noMultiLvlLbl val="0"/>
      </c:catAx>
      <c:valAx>
        <c:axId val="8343023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24507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1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Deadstick DPS and cockpit time by level</a:t>
            </a:r>
          </a:p>
        </c:rich>
      </c:tx>
      <c:overlay val="0"/>
      <c:spPr>
        <a:noFill/>
        <a:ln w="0">
          <a:noFill/>
        </a:ln>
      </c:spPr>
    </c:title>
    <c:autoTitleDeleted val="0"/>
    <c:plotArea>
      <c:lineChart>
        <c:grouping val="standard"/>
        <c:varyColors val="0"/>
        <c:ser>
          <c:idx val="0"/>
          <c:order val="0"/>
          <c:tx>
            <c:strRef>
              <c:f>'Deadstick Pilot'!H15</c:f>
              <c:strCache>
                <c:ptCount val="1"/>
                <c:pt idx="0">
                  <c:v>Damage per second</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'Deadstick Pilot'!$A$16:$A$25</c:f>
              <c:strCache>
                <c:ptCount val="10"/>
                <c:pt idx="0">
                  <c:v>1</c:v>
                </c:pt>
                <c:pt idx="1">
                  <c:v>2</c:v>
                </c:pt>
                <c:pt idx="2">
                  <c:v>3</c:v>
                </c:pt>
                <c:pt idx="3">
                  <c:v>4</c:v>
                </c:pt>
                <c:pt idx="4">
                  <c:v>5</c:v>
                </c:pt>
                <c:pt idx="5">
                  <c:v>6</c:v>
                </c:pt>
                <c:pt idx="6">
                  <c:v>7</c:v>
                </c:pt>
                <c:pt idx="7">
                  <c:v>8</c:v>
                </c:pt>
                <c:pt idx="8">
                  <c:v>9</c:v>
                </c:pt>
                <c:pt idx="9">
                  <c:v>10</c:v>
                </c:pt>
              </c:strCache>
            </c:strRef>
          </c:cat>
          <c:val>
            <c:numRef>
              <c:f>'Deadstick Pilot'!$H$16:$H$25</c:f>
              <c:numCache>
                <c:formatCode>0.0</c:formatCode>
                <c:ptCount val="10"/>
                <c:pt idx="0">
                  <c:v>5.98265031408914</c:v>
                </c:pt>
                <c:pt idx="1">
                  <c:v>6.97975869977066</c:v>
                </c:pt>
                <c:pt idx="2">
                  <c:v>9.97108385681524</c:v>
                </c:pt>
                <c:pt idx="3">
                  <c:v>11.2174693389171</c:v>
                </c:pt>
                <c:pt idx="4">
                  <c:v>12.463854821019</c:v>
                </c:pt>
                <c:pt idx="5">
                  <c:v>13.710240303121</c:v>
                </c:pt>
                <c:pt idx="6">
                  <c:v>14.9566257852229</c:v>
                </c:pt>
                <c:pt idx="7">
                  <c:v>16.2030112673248</c:v>
                </c:pt>
                <c:pt idx="8">
                  <c:v>17.4493967494267</c:v>
                </c:pt>
                <c:pt idx="9">
                  <c:v>18.6957822315286</c:v>
                </c:pt>
              </c:numCache>
            </c:numRef>
          </c:val>
          <c:smooth val="1"/>
        </c:ser>
        <c:hiLowLines>
          <c:spPr>
            <a:ln w="0">
              <a:noFill/>
            </a:ln>
          </c:spPr>
        </c:hiLowLines>
        <c:marker val="0"/>
        <c:axId val="97486089"/>
        <c:axId val="4427001"/>
      </c:lineChart>
      <c:lineChart>
        <c:grouping val="standard"/>
        <c:varyColors val="0"/>
        <c:ser>
          <c:idx val="1"/>
          <c:order val="1"/>
          <c:tx>
            <c:strRef>
              <c:f>'Deadstick Pilot'!F15</c:f>
              <c:strCache>
                <c:ptCount val="1"/>
                <c:pt idx="0">
                  <c:v>Cockpit flight time (s)</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'Deadstick Pilot'!$A$16:$A$25</c:f>
              <c:strCache>
                <c:ptCount val="10"/>
                <c:pt idx="0">
                  <c:v>1</c:v>
                </c:pt>
                <c:pt idx="1">
                  <c:v>2</c:v>
                </c:pt>
                <c:pt idx="2">
                  <c:v>3</c:v>
                </c:pt>
                <c:pt idx="3">
                  <c:v>4</c:v>
                </c:pt>
                <c:pt idx="4">
                  <c:v>5</c:v>
                </c:pt>
                <c:pt idx="5">
                  <c:v>6</c:v>
                </c:pt>
                <c:pt idx="6">
                  <c:v>7</c:v>
                </c:pt>
                <c:pt idx="7">
                  <c:v>8</c:v>
                </c:pt>
                <c:pt idx="8">
                  <c:v>9</c:v>
                </c:pt>
                <c:pt idx="9">
                  <c:v>10</c:v>
                </c:pt>
              </c:strCache>
            </c:strRef>
          </c:cat>
          <c:val>
            <c:numRef>
              <c:f>'Deadstick Pilot'!$F$16:$F$25</c:f>
              <c:numCache>
                <c:formatCode>0</c:formatCode>
                <c:ptCount val="10"/>
                <c:pt idx="0">
                  <c:v>30</c:v>
                </c:pt>
                <c:pt idx="1">
                  <c:v>33</c:v>
                </c:pt>
                <c:pt idx="2">
                  <c:v>36</c:v>
                </c:pt>
                <c:pt idx="3">
                  <c:v>39</c:v>
                </c:pt>
                <c:pt idx="4">
                  <c:v>42</c:v>
                </c:pt>
                <c:pt idx="5">
                  <c:v>45</c:v>
                </c:pt>
                <c:pt idx="6">
                  <c:v>48</c:v>
                </c:pt>
                <c:pt idx="7">
                  <c:v>51</c:v>
                </c:pt>
                <c:pt idx="8">
                  <c:v>54</c:v>
                </c:pt>
                <c:pt idx="9">
                  <c:v>57</c:v>
                </c:pt>
              </c:numCache>
            </c:numRef>
          </c:val>
          <c:smooth val="1"/>
        </c:ser>
        <c:hiLowLines>
          <c:spPr>
            <a:ln w="0">
              <a:noFill/>
            </a:ln>
          </c:spPr>
        </c:hiLowLines>
        <c:marker val="0"/>
        <c:axId val="45874178"/>
        <c:axId val="62790384"/>
      </c:lineChart>
      <c:catAx>
        <c:axId val="9748608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27001"/>
        <c:crosses val="autoZero"/>
        <c:auto val="1"/>
        <c:lblAlgn val="ctr"/>
        <c:lblOffset val="100"/>
        <c:noMultiLvlLbl val="0"/>
      </c:catAx>
      <c:valAx>
        <c:axId val="442700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Damage per second</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486089"/>
        <c:crosses val="autoZero"/>
        <c:crossBetween val="between"/>
      </c:valAx>
      <c:catAx>
        <c:axId val="45874178"/>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790384"/>
        <c:crosses val="autoZero"/>
        <c:auto val="1"/>
        <c:lblAlgn val="ctr"/>
        <c:lblOffset val="100"/>
        <c:noMultiLvlLbl val="0"/>
      </c:catAx>
      <c:valAx>
        <c:axId val="62790384"/>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Cockpit flight time (s)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874178"/>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'Deadstick Pilot'!C15</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'Deadstick Pilot'!$A$16:$A$25</c:f>
              <c:strCache>
                <c:ptCount val="10"/>
                <c:pt idx="0">
                  <c:v>1</c:v>
                </c:pt>
                <c:pt idx="1">
                  <c:v>2</c:v>
                </c:pt>
                <c:pt idx="2">
                  <c:v>3</c:v>
                </c:pt>
                <c:pt idx="3">
                  <c:v>4</c:v>
                </c:pt>
                <c:pt idx="4">
                  <c:v>5</c:v>
                </c:pt>
                <c:pt idx="5">
                  <c:v>6</c:v>
                </c:pt>
                <c:pt idx="6">
                  <c:v>7</c:v>
                </c:pt>
                <c:pt idx="7">
                  <c:v>8</c:v>
                </c:pt>
                <c:pt idx="8">
                  <c:v>9</c:v>
                </c:pt>
                <c:pt idx="9">
                  <c:v>10</c:v>
                </c:pt>
              </c:strCache>
            </c:strRef>
          </c:cat>
          <c:val>
            <c:numRef>
              <c:f>'Deadstick Pilot'!$C$16:$C$25</c:f>
              <c:numCache>
                <c:formatCode>#,##0</c:formatCode>
                <c:ptCount val="10"/>
                <c:pt idx="0">
                  <c:v>2200</c:v>
                </c:pt>
                <c:pt idx="1">
                  <c:v>505</c:v>
                </c:pt>
                <c:pt idx="2">
                  <c:v>1025</c:v>
                </c:pt>
                <c:pt idx="3">
                  <c:v>1695</c:v>
                </c:pt>
                <c:pt idx="4">
                  <c:v>2510</c:v>
                </c:pt>
                <c:pt idx="5">
                  <c:v>3450</c:v>
                </c:pt>
                <c:pt idx="6">
                  <c:v>4520</c:v>
                </c:pt>
                <c:pt idx="7">
                  <c:v>5710</c:v>
                </c:pt>
                <c:pt idx="8">
                  <c:v>7015</c:v>
                </c:pt>
                <c:pt idx="9">
                  <c:v>8435</c:v>
                </c:pt>
              </c:numCache>
            </c:numRef>
          </c:val>
        </c:ser>
        <c:gapWidth val="150"/>
        <c:overlap val="0"/>
        <c:axId val="97638015"/>
        <c:axId val="74241578"/>
      </c:barChart>
      <c:catAx>
        <c:axId val="9763801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241578"/>
        <c:crosses val="autoZero"/>
        <c:auto val="1"/>
        <c:lblAlgn val="ctr"/>
        <c:lblOffset val="100"/>
        <c:noMultiLvlLbl val="0"/>
      </c:catAx>
      <c:valAx>
        <c:axId val="7424157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63801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1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Pulse recharge and pulses per minute</a:t>
            </a:r>
          </a:p>
        </c:rich>
      </c:tx>
      <c:overlay val="0"/>
      <c:spPr>
        <a:noFill/>
        <a:ln w="0">
          <a:noFill/>
        </a:ln>
      </c:spPr>
    </c:title>
    <c:autoTitleDeleted val="0"/>
    <c:plotArea>
      <c:lineChart>
        <c:grouping val="standard"/>
        <c:varyColors val="0"/>
        <c:ser>
          <c:idx val="0"/>
          <c:order val="0"/>
          <c:tx>
            <c:strRef>
              <c:f>'Pulse Emitter'!E11</c:f>
              <c:strCache>
                <c:ptCount val="1"/>
                <c:pt idx="0">
                  <c:v>Recharge (s)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'Pulse Emitter'!$A$12:$A$22</c:f>
              <c:strCache>
                <c:ptCount val="11"/>
                <c:pt idx="0">
                  <c:v>0</c:v>
                </c:pt>
                <c:pt idx="1">
                  <c:v>1</c:v>
                </c:pt>
                <c:pt idx="2">
                  <c:v>2</c:v>
                </c:pt>
                <c:pt idx="3">
                  <c:v>3</c:v>
                </c:pt>
                <c:pt idx="4">
                  <c:v>4</c:v>
                </c:pt>
                <c:pt idx="5">
                  <c:v>5</c:v>
                </c:pt>
                <c:pt idx="6">
                  <c:v>6</c:v>
                </c:pt>
                <c:pt idx="7">
                  <c:v>7</c:v>
                </c:pt>
                <c:pt idx="8">
                  <c:v>8</c:v>
                </c:pt>
                <c:pt idx="9">
                  <c:v>9</c:v>
                </c:pt>
                <c:pt idx="10">
                  <c:v>10</c:v>
                </c:pt>
              </c:strCache>
            </c:strRef>
          </c:cat>
          <c:val>
            <c:numRef>
              <c:f>'Pulse Emitter'!$E$12:$E$22</c:f>
              <c:numCache>
                <c:formatCode>0.00</c:formatCode>
                <c:ptCount val="11"/>
                <c:pt idx="0">
                  <c:v>10</c:v>
                </c:pt>
                <c:pt idx="1">
                  <c:v>9.6</c:v>
                </c:pt>
                <c:pt idx="2">
                  <c:v>9.2</c:v>
                </c:pt>
                <c:pt idx="3">
                  <c:v>8.8</c:v>
                </c:pt>
                <c:pt idx="4">
                  <c:v>8.4</c:v>
                </c:pt>
                <c:pt idx="5">
                  <c:v>8</c:v>
                </c:pt>
                <c:pt idx="6">
                  <c:v>7.6</c:v>
                </c:pt>
                <c:pt idx="7">
                  <c:v>7.2</c:v>
                </c:pt>
                <c:pt idx="8">
                  <c:v>6.8</c:v>
                </c:pt>
                <c:pt idx="9">
                  <c:v>6.4</c:v>
                </c:pt>
                <c:pt idx="10">
                  <c:v>6</c:v>
                </c:pt>
              </c:numCache>
            </c:numRef>
          </c:val>
          <c:smooth val="1"/>
        </c:ser>
        <c:hiLowLines>
          <c:spPr>
            <a:ln w="0">
              <a:noFill/>
            </a:ln>
          </c:spPr>
        </c:hiLowLines>
        <c:marker val="0"/>
        <c:axId val="20167827"/>
        <c:axId val="68330527"/>
      </c:lineChart>
      <c:lineChart>
        <c:grouping val="standard"/>
        <c:varyColors val="0"/>
        <c:ser>
          <c:idx val="1"/>
          <c:order val="1"/>
          <c:tx>
            <c:strRef>
              <c:f>'Pulse Emitter'!G11</c:f>
              <c:strCache>
                <c:ptCount val="1"/>
                <c:pt idx="0">
                  <c:v>Pulses per minute</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'Pulse Emitter'!$A$12:$A$22</c:f>
              <c:strCache>
                <c:ptCount val="11"/>
                <c:pt idx="0">
                  <c:v>0</c:v>
                </c:pt>
                <c:pt idx="1">
                  <c:v>1</c:v>
                </c:pt>
                <c:pt idx="2">
                  <c:v>2</c:v>
                </c:pt>
                <c:pt idx="3">
                  <c:v>3</c:v>
                </c:pt>
                <c:pt idx="4">
                  <c:v>4</c:v>
                </c:pt>
                <c:pt idx="5">
                  <c:v>5</c:v>
                </c:pt>
                <c:pt idx="6">
                  <c:v>6</c:v>
                </c:pt>
                <c:pt idx="7">
                  <c:v>7</c:v>
                </c:pt>
                <c:pt idx="8">
                  <c:v>8</c:v>
                </c:pt>
                <c:pt idx="9">
                  <c:v>9</c:v>
                </c:pt>
                <c:pt idx="10">
                  <c:v>10</c:v>
                </c:pt>
              </c:strCache>
            </c:strRef>
          </c:cat>
          <c:val>
            <c:numRef>
              <c:f>'Pulse Emitter'!$G$12:$G$22</c:f>
              <c:numCache>
                <c:formatCode>0.0</c:formatCode>
                <c:ptCount val="11"/>
                <c:pt idx="0">
                  <c:v>6</c:v>
                </c:pt>
                <c:pt idx="1">
                  <c:v>6.25</c:v>
                </c:pt>
                <c:pt idx="2">
                  <c:v>6.52173913043478</c:v>
                </c:pt>
                <c:pt idx="3">
                  <c:v>6.81818181818182</c:v>
                </c:pt>
                <c:pt idx="4">
                  <c:v>7.14285714285714</c:v>
                </c:pt>
                <c:pt idx="5">
                  <c:v>7.5</c:v>
                </c:pt>
                <c:pt idx="6">
                  <c:v>7.89473684210526</c:v>
                </c:pt>
                <c:pt idx="7">
                  <c:v>8.33333333333333</c:v>
                </c:pt>
                <c:pt idx="8">
                  <c:v>8.82352941176471</c:v>
                </c:pt>
                <c:pt idx="9">
                  <c:v>9.375</c:v>
                </c:pt>
                <c:pt idx="10">
                  <c:v>10</c:v>
                </c:pt>
              </c:numCache>
            </c:numRef>
          </c:val>
          <c:smooth val="1"/>
        </c:ser>
        <c:hiLowLines>
          <c:spPr>
            <a:ln w="0">
              <a:noFill/>
            </a:ln>
          </c:spPr>
        </c:hiLowLines>
        <c:marker val="0"/>
        <c:axId val="66727154"/>
        <c:axId val="20864874"/>
      </c:lineChart>
      <c:catAx>
        <c:axId val="2016782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330527"/>
        <c:crosses val="autoZero"/>
        <c:auto val="1"/>
        <c:lblAlgn val="ctr"/>
        <c:lblOffset val="100"/>
        <c:noMultiLvlLbl val="0"/>
      </c:catAx>
      <c:valAx>
        <c:axId val="6833052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Recharge (s)</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167827"/>
        <c:crosses val="autoZero"/>
        <c:crossBetween val="between"/>
      </c:valAx>
      <c:catAx>
        <c:axId val="66727154"/>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864874"/>
        <c:crosses val="autoZero"/>
        <c:auto val="1"/>
        <c:lblAlgn val="ctr"/>
        <c:lblOffset val="100"/>
        <c:noMultiLvlLbl val="0"/>
      </c:catAx>
      <c:valAx>
        <c:axId val="20864874"/>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Pulses per minute</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727154"/>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'Pulse Emitter'!C11</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'Pulse Emitter'!$A$12:$A$22</c:f>
              <c:strCache>
                <c:ptCount val="11"/>
                <c:pt idx="0">
                  <c:v>0</c:v>
                </c:pt>
                <c:pt idx="1">
                  <c:v>1</c:v>
                </c:pt>
                <c:pt idx="2">
                  <c:v>2</c:v>
                </c:pt>
                <c:pt idx="3">
                  <c:v>3</c:v>
                </c:pt>
                <c:pt idx="4">
                  <c:v>4</c:v>
                </c:pt>
                <c:pt idx="5">
                  <c:v>5</c:v>
                </c:pt>
                <c:pt idx="6">
                  <c:v>6</c:v>
                </c:pt>
                <c:pt idx="7">
                  <c:v>7</c:v>
                </c:pt>
                <c:pt idx="8">
                  <c:v>8</c:v>
                </c:pt>
                <c:pt idx="9">
                  <c:v>9</c:v>
                </c:pt>
                <c:pt idx="10">
                  <c:v>10</c:v>
                </c:pt>
              </c:strCache>
            </c:strRef>
          </c:cat>
          <c:val>
            <c:numRef>
              <c:f>'Pulse Emitter'!$C$12:$C$22</c:f>
              <c:numCache>
                <c:formatCode>#,##0</c:formatCode>
                <c:ptCount val="11"/>
                <c:pt idx="1">
                  <c:v>120</c:v>
                </c:pt>
                <c:pt idx="2">
                  <c:v>405</c:v>
                </c:pt>
                <c:pt idx="3">
                  <c:v>820</c:v>
                </c:pt>
                <c:pt idx="4">
                  <c:v>1360</c:v>
                </c:pt>
                <c:pt idx="5">
                  <c:v>2005</c:v>
                </c:pt>
                <c:pt idx="6">
                  <c:v>2760</c:v>
                </c:pt>
                <c:pt idx="7">
                  <c:v>3615</c:v>
                </c:pt>
                <c:pt idx="8">
                  <c:v>4565</c:v>
                </c:pt>
                <c:pt idx="9">
                  <c:v>5610</c:v>
                </c:pt>
                <c:pt idx="10">
                  <c:v>6750</c:v>
                </c:pt>
              </c:numCache>
            </c:numRef>
          </c:val>
        </c:ser>
        <c:gapWidth val="150"/>
        <c:overlap val="0"/>
        <c:axId val="21337832"/>
        <c:axId val="14266618"/>
      </c:barChart>
      <c:catAx>
        <c:axId val="2133783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266618"/>
        <c:crosses val="autoZero"/>
        <c:auto val="1"/>
        <c:lblAlgn val="ctr"/>
        <c:lblOffset val="100"/>
        <c:noMultiLvlLbl val="0"/>
      </c:catAx>
      <c:valAx>
        <c:axId val="1426661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33783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1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Well time and pull by level</a:t>
            </a:r>
          </a:p>
        </c:rich>
      </c:tx>
      <c:overlay val="0"/>
      <c:spPr>
        <a:noFill/>
        <a:ln w="0">
          <a:noFill/>
        </a:ln>
      </c:spPr>
    </c:title>
    <c:autoTitleDeleted val="0"/>
    <c:plotArea>
      <c:lineChart>
        <c:grouping val="standard"/>
        <c:varyColors val="0"/>
        <c:ser>
          <c:idx val="0"/>
          <c:order val="0"/>
          <c:tx>
            <c:strRef>
              <c:f>'Gravity Well'!E14</c:f>
              <c:strCache>
                <c:ptCount val="1"/>
                <c:pt idx="0">
                  <c:v>Well time (s)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'Gravity Well'!$A$15:$A$24</c:f>
              <c:strCache>
                <c:ptCount val="10"/>
                <c:pt idx="0">
                  <c:v>1</c:v>
                </c:pt>
                <c:pt idx="1">
                  <c:v>2</c:v>
                </c:pt>
                <c:pt idx="2">
                  <c:v>3</c:v>
                </c:pt>
                <c:pt idx="3">
                  <c:v>4</c:v>
                </c:pt>
                <c:pt idx="4">
                  <c:v>5</c:v>
                </c:pt>
                <c:pt idx="5">
                  <c:v>6</c:v>
                </c:pt>
                <c:pt idx="6">
                  <c:v>7</c:v>
                </c:pt>
                <c:pt idx="7">
                  <c:v>8</c:v>
                </c:pt>
                <c:pt idx="8">
                  <c:v>9</c:v>
                </c:pt>
                <c:pt idx="9">
                  <c:v>10</c:v>
                </c:pt>
              </c:strCache>
            </c:strRef>
          </c:cat>
          <c:val>
            <c:numRef>
              <c:f>'Gravity Well'!$E$15:$E$24</c:f>
              <c:numCache>
                <c:formatCode>0.0</c:formatCode>
                <c:ptCount val="10"/>
                <c:pt idx="0">
                  <c:v>8</c:v>
                </c:pt>
                <c:pt idx="1">
                  <c:v>8.5</c:v>
                </c:pt>
                <c:pt idx="2">
                  <c:v>9</c:v>
                </c:pt>
                <c:pt idx="3">
                  <c:v>9.5</c:v>
                </c:pt>
                <c:pt idx="4">
                  <c:v>10</c:v>
                </c:pt>
                <c:pt idx="5">
                  <c:v>10.5</c:v>
                </c:pt>
                <c:pt idx="6">
                  <c:v>11</c:v>
                </c:pt>
                <c:pt idx="7">
                  <c:v>11.5</c:v>
                </c:pt>
                <c:pt idx="8">
                  <c:v>12</c:v>
                </c:pt>
                <c:pt idx="9">
                  <c:v>12.5</c:v>
                </c:pt>
              </c:numCache>
            </c:numRef>
          </c:val>
          <c:smooth val="1"/>
        </c:ser>
        <c:hiLowLines>
          <c:spPr>
            <a:ln w="0">
              <a:noFill/>
            </a:ln>
          </c:spPr>
        </c:hiLowLines>
        <c:marker val="0"/>
        <c:axId val="56934702"/>
        <c:axId val="76319542"/>
      </c:lineChart>
      <c:lineChart>
        <c:grouping val="standard"/>
        <c:varyColors val="0"/>
        <c:ser>
          <c:idx val="1"/>
          <c:order val="1"/>
          <c:tx>
            <c:strRef>
              <c:f>'Gravity Well'!G14</c:f>
              <c:strCache>
                <c:ptCount val="1"/>
                <c:pt idx="0">
                  <c:v>Pull strength</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'Gravity Well'!$A$15:$A$24</c:f>
              <c:strCache>
                <c:ptCount val="10"/>
                <c:pt idx="0">
                  <c:v>1</c:v>
                </c:pt>
                <c:pt idx="1">
                  <c:v>2</c:v>
                </c:pt>
                <c:pt idx="2">
                  <c:v>3</c:v>
                </c:pt>
                <c:pt idx="3">
                  <c:v>4</c:v>
                </c:pt>
                <c:pt idx="4">
                  <c:v>5</c:v>
                </c:pt>
                <c:pt idx="5">
                  <c:v>6</c:v>
                </c:pt>
                <c:pt idx="6">
                  <c:v>7</c:v>
                </c:pt>
                <c:pt idx="7">
                  <c:v>8</c:v>
                </c:pt>
                <c:pt idx="8">
                  <c:v>9</c:v>
                </c:pt>
                <c:pt idx="9">
                  <c:v>10</c:v>
                </c:pt>
              </c:strCache>
            </c:strRef>
          </c:cat>
          <c:val>
            <c:numRef>
              <c:f>'Gravity Well'!$G$15:$G$24</c:f>
              <c:numCache>
                <c:formatCode>0.00</c:formatCode>
                <c:ptCount val="10"/>
                <c:pt idx="0">
                  <c:v>4.5</c:v>
                </c:pt>
                <c:pt idx="1">
                  <c:v>4.725</c:v>
                </c:pt>
                <c:pt idx="2">
                  <c:v>4.95</c:v>
                </c:pt>
                <c:pt idx="3">
                  <c:v>5.175</c:v>
                </c:pt>
                <c:pt idx="4">
                  <c:v>5.4</c:v>
                </c:pt>
                <c:pt idx="5">
                  <c:v>5.625</c:v>
                </c:pt>
                <c:pt idx="6">
                  <c:v>5.85</c:v>
                </c:pt>
                <c:pt idx="7">
                  <c:v>6.075</c:v>
                </c:pt>
                <c:pt idx="8">
                  <c:v>6.3</c:v>
                </c:pt>
                <c:pt idx="9">
                  <c:v>6.525</c:v>
                </c:pt>
              </c:numCache>
            </c:numRef>
          </c:val>
          <c:smooth val="1"/>
        </c:ser>
        <c:hiLowLines>
          <c:spPr>
            <a:ln w="0">
              <a:noFill/>
            </a:ln>
          </c:spPr>
        </c:hiLowLines>
        <c:marker val="0"/>
        <c:axId val="89251317"/>
        <c:axId val="77612913"/>
      </c:lineChart>
      <c:catAx>
        <c:axId val="5693470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319542"/>
        <c:crosses val="autoZero"/>
        <c:auto val="1"/>
        <c:lblAlgn val="ctr"/>
        <c:lblOffset val="100"/>
        <c:noMultiLvlLbl val="0"/>
      </c:catAx>
      <c:valAx>
        <c:axId val="7631954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Well time (s)</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934702"/>
        <c:crosses val="autoZero"/>
        <c:crossBetween val="between"/>
      </c:valAx>
      <c:catAx>
        <c:axId val="89251317"/>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612913"/>
        <c:crosses val="autoZero"/>
        <c:auto val="1"/>
        <c:lblAlgn val="ctr"/>
        <c:lblOffset val="100"/>
        <c:noMultiLvlLbl val="0"/>
      </c:catAx>
      <c:valAx>
        <c:axId val="77612913"/>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Pull strength</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251317"/>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'Gravity Well'!C14</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'Gravity Well'!$A$15:$A$24</c:f>
              <c:strCache>
                <c:ptCount val="10"/>
                <c:pt idx="0">
                  <c:v>1</c:v>
                </c:pt>
                <c:pt idx="1">
                  <c:v>2</c:v>
                </c:pt>
                <c:pt idx="2">
                  <c:v>3</c:v>
                </c:pt>
                <c:pt idx="3">
                  <c:v>4</c:v>
                </c:pt>
                <c:pt idx="4">
                  <c:v>5</c:v>
                </c:pt>
                <c:pt idx="5">
                  <c:v>6</c:v>
                </c:pt>
                <c:pt idx="6">
                  <c:v>7</c:v>
                </c:pt>
                <c:pt idx="7">
                  <c:v>8</c:v>
                </c:pt>
                <c:pt idx="8">
                  <c:v>9</c:v>
                </c:pt>
                <c:pt idx="9">
                  <c:v>10</c:v>
                </c:pt>
              </c:strCache>
            </c:strRef>
          </c:cat>
          <c:val>
            <c:numRef>
              <c:f>'Gravity Well'!$C$15:$C$24</c:f>
              <c:numCache>
                <c:formatCode>#,##0</c:formatCode>
                <c:ptCount val="10"/>
                <c:pt idx="0">
                  <c:v>165</c:v>
                </c:pt>
                <c:pt idx="1">
                  <c:v>555</c:v>
                </c:pt>
                <c:pt idx="2">
                  <c:v>1130</c:v>
                </c:pt>
                <c:pt idx="3">
                  <c:v>1865</c:v>
                </c:pt>
                <c:pt idx="4">
                  <c:v>2760</c:v>
                </c:pt>
                <c:pt idx="5">
                  <c:v>3795</c:v>
                </c:pt>
                <c:pt idx="6">
                  <c:v>4970</c:v>
                </c:pt>
                <c:pt idx="7">
                  <c:v>6280</c:v>
                </c:pt>
                <c:pt idx="8">
                  <c:v>7715</c:v>
                </c:pt>
                <c:pt idx="9">
                  <c:v>9280</c:v>
                </c:pt>
              </c:numCache>
            </c:numRef>
          </c:val>
        </c:ser>
        <c:gapWidth val="150"/>
        <c:overlap val="0"/>
        <c:axId val="98999924"/>
        <c:axId val="77543532"/>
      </c:barChart>
      <c:catAx>
        <c:axId val="9899992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543532"/>
        <c:crosses val="autoZero"/>
        <c:auto val="1"/>
        <c:lblAlgn val="ctr"/>
        <c:lblOffset val="100"/>
        <c:noMultiLvlLbl val="0"/>
      </c:catAx>
      <c:valAx>
        <c:axId val="7754353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99992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Hellstitch sweep time and beam length</a:t>
            </a:r>
          </a:p>
        </c:rich>
      </c:tx>
      <c:overlay val="0"/>
      <c:spPr>
        <a:noFill/>
        <a:ln w="0">
          <a:noFill/>
        </a:ln>
      </c:spPr>
    </c:title>
    <c:autoTitleDeleted val="0"/>
    <c:plotArea>
      <c:lineChart>
        <c:grouping val="standard"/>
        <c:varyColors val="0"/>
        <c:ser>
          <c:idx val="0"/>
          <c:order val="0"/>
          <c:tx>
            <c:strRef>
              <c:f>Hellstitch!E14</c:f>
              <c:strCache>
                <c:ptCount val="1"/>
                <c:pt idx="0">
                  <c:v>Sweep time (s)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Hellstitch!$A$15:$A$24</c:f>
              <c:strCache>
                <c:ptCount val="10"/>
                <c:pt idx="0">
                  <c:v>1</c:v>
                </c:pt>
                <c:pt idx="1">
                  <c:v>2</c:v>
                </c:pt>
                <c:pt idx="2">
                  <c:v>3</c:v>
                </c:pt>
                <c:pt idx="3">
                  <c:v>4</c:v>
                </c:pt>
                <c:pt idx="4">
                  <c:v>5</c:v>
                </c:pt>
                <c:pt idx="5">
                  <c:v>6</c:v>
                </c:pt>
                <c:pt idx="6">
                  <c:v>7</c:v>
                </c:pt>
                <c:pt idx="7">
                  <c:v>8</c:v>
                </c:pt>
                <c:pt idx="8">
                  <c:v>9</c:v>
                </c:pt>
                <c:pt idx="9">
                  <c:v>10</c:v>
                </c:pt>
              </c:strCache>
            </c:strRef>
          </c:cat>
          <c:val>
            <c:numRef>
              <c:f>Hellstitch!$E$15:$E$24</c:f>
              <c:numCache>
                <c:formatCode>0.0</c:formatCode>
                <c:ptCount val="10"/>
                <c:pt idx="0">
                  <c:v>6</c:v>
                </c:pt>
                <c:pt idx="1">
                  <c:v>6.4</c:v>
                </c:pt>
                <c:pt idx="2">
                  <c:v>6.8</c:v>
                </c:pt>
                <c:pt idx="3">
                  <c:v>7.2</c:v>
                </c:pt>
                <c:pt idx="4">
                  <c:v>7.6</c:v>
                </c:pt>
                <c:pt idx="5">
                  <c:v>8</c:v>
                </c:pt>
                <c:pt idx="6">
                  <c:v>8.4</c:v>
                </c:pt>
                <c:pt idx="7">
                  <c:v>8.8</c:v>
                </c:pt>
                <c:pt idx="8">
                  <c:v>9.2</c:v>
                </c:pt>
                <c:pt idx="9">
                  <c:v>9.6</c:v>
                </c:pt>
              </c:numCache>
            </c:numRef>
          </c:val>
          <c:smooth val="1"/>
        </c:ser>
        <c:hiLowLines>
          <c:spPr>
            <a:ln w="0">
              <a:noFill/>
            </a:ln>
          </c:spPr>
        </c:hiLowLines>
        <c:marker val="0"/>
        <c:axId val="74664877"/>
        <c:axId val="21683120"/>
      </c:lineChart>
      <c:lineChart>
        <c:grouping val="standard"/>
        <c:varyColors val="0"/>
        <c:ser>
          <c:idx val="1"/>
          <c:order val="1"/>
          <c:tx>
            <c:strRef>
              <c:f>Hellstitch!F14</c:f>
              <c:strCache>
                <c:ptCount val="1"/>
                <c:pt idx="0">
                  <c:v>Beam length</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Hellstitch!$A$15:$A$24</c:f>
              <c:strCache>
                <c:ptCount val="10"/>
                <c:pt idx="0">
                  <c:v>1</c:v>
                </c:pt>
                <c:pt idx="1">
                  <c:v>2</c:v>
                </c:pt>
                <c:pt idx="2">
                  <c:v>3</c:v>
                </c:pt>
                <c:pt idx="3">
                  <c:v>4</c:v>
                </c:pt>
                <c:pt idx="4">
                  <c:v>5</c:v>
                </c:pt>
                <c:pt idx="5">
                  <c:v>6</c:v>
                </c:pt>
                <c:pt idx="6">
                  <c:v>7</c:v>
                </c:pt>
                <c:pt idx="7">
                  <c:v>8</c:v>
                </c:pt>
                <c:pt idx="8">
                  <c:v>9</c:v>
                </c:pt>
                <c:pt idx="9">
                  <c:v>10</c:v>
                </c:pt>
              </c:strCache>
            </c:strRef>
          </c:cat>
          <c:val>
            <c:numRef>
              <c:f>Hellstitch!$F$15:$F$24</c:f>
              <c:numCache>
                <c:formatCode>0.0</c:formatCode>
                <c:ptCount val="10"/>
                <c:pt idx="0">
                  <c:v>12</c:v>
                </c:pt>
                <c:pt idx="1">
                  <c:v>12</c:v>
                </c:pt>
                <c:pt idx="2">
                  <c:v>12</c:v>
                </c:pt>
                <c:pt idx="3">
                  <c:v>12</c:v>
                </c:pt>
                <c:pt idx="4">
                  <c:v>12</c:v>
                </c:pt>
                <c:pt idx="5">
                  <c:v>15.6</c:v>
                </c:pt>
                <c:pt idx="6">
                  <c:v>15.6</c:v>
                </c:pt>
                <c:pt idx="7">
                  <c:v>15.6</c:v>
                </c:pt>
                <c:pt idx="8">
                  <c:v>15.6</c:v>
                </c:pt>
                <c:pt idx="9">
                  <c:v>15.6</c:v>
                </c:pt>
              </c:numCache>
            </c:numRef>
          </c:val>
          <c:smooth val="1"/>
        </c:ser>
        <c:hiLowLines>
          <c:spPr>
            <a:ln w="0">
              <a:noFill/>
            </a:ln>
          </c:spPr>
        </c:hiLowLines>
        <c:marker val="0"/>
        <c:axId val="56838598"/>
        <c:axId val="58186484"/>
      </c:lineChart>
      <c:catAx>
        <c:axId val="7466487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683120"/>
        <c:crosses val="autoZero"/>
        <c:auto val="1"/>
        <c:lblAlgn val="ctr"/>
        <c:lblOffset val="100"/>
        <c:noMultiLvlLbl val="0"/>
      </c:catAx>
      <c:valAx>
        <c:axId val="2168312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Sweep time (s)</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664877"/>
        <c:crosses val="autoZero"/>
        <c:crossBetween val="between"/>
      </c:valAx>
      <c:catAx>
        <c:axId val="56838598"/>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8186484"/>
        <c:crosses val="autoZero"/>
        <c:auto val="1"/>
        <c:lblAlgn val="ctr"/>
        <c:lblOffset val="100"/>
        <c:noMultiLvlLbl val="0"/>
      </c:catAx>
      <c:valAx>
        <c:axId val="58186484"/>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Beam length</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838598"/>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Hellstitch!C14</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Hellstitch!$A$15:$A$24</c:f>
              <c:strCache>
                <c:ptCount val="10"/>
                <c:pt idx="0">
                  <c:v>1</c:v>
                </c:pt>
                <c:pt idx="1">
                  <c:v>2</c:v>
                </c:pt>
                <c:pt idx="2">
                  <c:v>3</c:v>
                </c:pt>
                <c:pt idx="3">
                  <c:v>4</c:v>
                </c:pt>
                <c:pt idx="4">
                  <c:v>5</c:v>
                </c:pt>
                <c:pt idx="5">
                  <c:v>6</c:v>
                </c:pt>
                <c:pt idx="6">
                  <c:v>7</c:v>
                </c:pt>
                <c:pt idx="7">
                  <c:v>8</c:v>
                </c:pt>
                <c:pt idx="8">
                  <c:v>9</c:v>
                </c:pt>
                <c:pt idx="9">
                  <c:v>10</c:v>
                </c:pt>
              </c:strCache>
            </c:strRef>
          </c:cat>
          <c:val>
            <c:numRef>
              <c:f>Hellstitch!$C$15:$C$24</c:f>
              <c:numCache>
                <c:formatCode>#,##0</c:formatCode>
                <c:ptCount val="10"/>
                <c:pt idx="0">
                  <c:v>195</c:v>
                </c:pt>
                <c:pt idx="1">
                  <c:v>655</c:v>
                </c:pt>
                <c:pt idx="2">
                  <c:v>1335</c:v>
                </c:pt>
                <c:pt idx="3">
                  <c:v>2205</c:v>
                </c:pt>
                <c:pt idx="4">
                  <c:v>3260</c:v>
                </c:pt>
                <c:pt idx="5">
                  <c:v>4485</c:v>
                </c:pt>
                <c:pt idx="6">
                  <c:v>5875</c:v>
                </c:pt>
                <c:pt idx="7">
                  <c:v>7420</c:v>
                </c:pt>
                <c:pt idx="8">
                  <c:v>9120</c:v>
                </c:pt>
                <c:pt idx="9">
                  <c:v>10965</c:v>
                </c:pt>
              </c:numCache>
            </c:numRef>
          </c:val>
        </c:ser>
        <c:gapWidth val="150"/>
        <c:overlap val="0"/>
        <c:axId val="67464418"/>
        <c:axId val="71334485"/>
      </c:barChart>
      <c:catAx>
        <c:axId val="6746441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334485"/>
        <c:crosses val="autoZero"/>
        <c:auto val="1"/>
        <c:lblAlgn val="ctr"/>
        <c:lblOffset val="100"/>
        <c:noMultiLvlLbl val="0"/>
      </c:catAx>
      <c:valAx>
        <c:axId val="7133448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46441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Catch of the day and net width</a:t>
            </a:r>
          </a:p>
        </c:rich>
      </c:tx>
      <c:overlay val="0"/>
      <c:spPr>
        <a:noFill/>
        <a:ln w="0">
          <a:noFill/>
        </a:ln>
      </c:spPr>
    </c:title>
    <c:autoTitleDeleted val="0"/>
    <c:plotArea>
      <c:lineChart>
        <c:grouping val="standard"/>
        <c:varyColors val="0"/>
        <c:ser>
          <c:idx val="0"/>
          <c:order val="0"/>
          <c:tx>
            <c:strRef>
              <c:f>'Aegis Net'!E14</c:f>
              <c:strCache>
                <c:ptCount val="1"/>
                <c:pt idx="0">
                  <c:v>Catch of the day (hulls)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'Aegis Net'!$A$15:$A$24</c:f>
              <c:strCache>
                <c:ptCount val="10"/>
                <c:pt idx="0">
                  <c:v>1</c:v>
                </c:pt>
                <c:pt idx="1">
                  <c:v>2</c:v>
                </c:pt>
                <c:pt idx="2">
                  <c:v>3</c:v>
                </c:pt>
                <c:pt idx="3">
                  <c:v>4</c:v>
                </c:pt>
                <c:pt idx="4">
                  <c:v>5</c:v>
                </c:pt>
                <c:pt idx="5">
                  <c:v>6</c:v>
                </c:pt>
                <c:pt idx="6">
                  <c:v>7</c:v>
                </c:pt>
                <c:pt idx="7">
                  <c:v>8</c:v>
                </c:pt>
                <c:pt idx="8">
                  <c:v>9</c:v>
                </c:pt>
                <c:pt idx="9">
                  <c:v>10</c:v>
                </c:pt>
              </c:strCache>
            </c:strRef>
          </c:cat>
          <c:val>
            <c:numRef>
              <c:f>'Aegis Net'!$E$15:$E$24</c:f>
              <c:numCache>
                <c:formatCode>0</c:formatCode>
                <c:ptCount val="10"/>
                <c:pt idx="0">
                  <c:v>3</c:v>
                </c:pt>
                <c:pt idx="1">
                  <c:v>3</c:v>
                </c:pt>
                <c:pt idx="2">
                  <c:v>4</c:v>
                </c:pt>
                <c:pt idx="3">
                  <c:v>4</c:v>
                </c:pt>
                <c:pt idx="4">
                  <c:v>5</c:v>
                </c:pt>
                <c:pt idx="5">
                  <c:v>5</c:v>
                </c:pt>
                <c:pt idx="6">
                  <c:v>6</c:v>
                </c:pt>
                <c:pt idx="7">
                  <c:v>6</c:v>
                </c:pt>
                <c:pt idx="8">
                  <c:v>7</c:v>
                </c:pt>
                <c:pt idx="9">
                  <c:v>7</c:v>
                </c:pt>
              </c:numCache>
            </c:numRef>
          </c:val>
          <c:smooth val="1"/>
        </c:ser>
        <c:hiLowLines>
          <c:spPr>
            <a:ln w="0">
              <a:noFill/>
            </a:ln>
          </c:spPr>
        </c:hiLowLines>
        <c:marker val="0"/>
        <c:axId val="63279368"/>
        <c:axId val="42253062"/>
      </c:lineChart>
      <c:lineChart>
        <c:grouping val="standard"/>
        <c:varyColors val="0"/>
        <c:ser>
          <c:idx val="1"/>
          <c:order val="1"/>
          <c:tx>
            <c:strRef>
              <c:f>'Aegis Net'!G14</c:f>
              <c:strCache>
                <c:ptCount val="1"/>
                <c:pt idx="0">
                  <c:v>Net width</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'Aegis Net'!$A$15:$A$24</c:f>
              <c:strCache>
                <c:ptCount val="10"/>
                <c:pt idx="0">
                  <c:v>1</c:v>
                </c:pt>
                <c:pt idx="1">
                  <c:v>2</c:v>
                </c:pt>
                <c:pt idx="2">
                  <c:v>3</c:v>
                </c:pt>
                <c:pt idx="3">
                  <c:v>4</c:v>
                </c:pt>
                <c:pt idx="4">
                  <c:v>5</c:v>
                </c:pt>
                <c:pt idx="5">
                  <c:v>6</c:v>
                </c:pt>
                <c:pt idx="6">
                  <c:v>7</c:v>
                </c:pt>
                <c:pt idx="7">
                  <c:v>8</c:v>
                </c:pt>
                <c:pt idx="8">
                  <c:v>9</c:v>
                </c:pt>
                <c:pt idx="9">
                  <c:v>10</c:v>
                </c:pt>
              </c:strCache>
            </c:strRef>
          </c:cat>
          <c:val>
            <c:numRef>
              <c:f>'Aegis Net'!$G$15:$G$24</c:f>
              <c:numCache>
                <c:formatCode>0.0</c:formatCode>
                <c:ptCount val="10"/>
                <c:pt idx="0">
                  <c:v>4</c:v>
                </c:pt>
                <c:pt idx="1">
                  <c:v>4</c:v>
                </c:pt>
                <c:pt idx="2">
                  <c:v>4</c:v>
                </c:pt>
                <c:pt idx="3">
                  <c:v>4</c:v>
                </c:pt>
                <c:pt idx="4">
                  <c:v>4</c:v>
                </c:pt>
                <c:pt idx="5">
                  <c:v>5</c:v>
                </c:pt>
                <c:pt idx="6">
                  <c:v>5</c:v>
                </c:pt>
                <c:pt idx="7">
                  <c:v>5</c:v>
                </c:pt>
                <c:pt idx="8">
                  <c:v>5</c:v>
                </c:pt>
                <c:pt idx="9">
                  <c:v>5</c:v>
                </c:pt>
              </c:numCache>
            </c:numRef>
          </c:val>
          <c:smooth val="1"/>
        </c:ser>
        <c:hiLowLines>
          <c:spPr>
            <a:ln w="0">
              <a:noFill/>
            </a:ln>
          </c:spPr>
        </c:hiLowLines>
        <c:marker val="0"/>
        <c:axId val="57757864"/>
        <c:axId val="30001207"/>
      </c:lineChart>
      <c:catAx>
        <c:axId val="6327936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253062"/>
        <c:crosses val="autoZero"/>
        <c:auto val="1"/>
        <c:lblAlgn val="ctr"/>
        <c:lblOffset val="100"/>
        <c:noMultiLvlLbl val="0"/>
      </c:catAx>
      <c:valAx>
        <c:axId val="4225306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Catch of the day (hulls)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279368"/>
        <c:crosses val="autoZero"/>
        <c:crossBetween val="between"/>
      </c:valAx>
      <c:catAx>
        <c:axId val="57757864"/>
        <c:scaling>
          <c:orientation val="minMax"/>
        </c:scaling>
        <c:delete val="0"/>
        <c:axPos val="t"/>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001207"/>
        <c:crosses val="autoZero"/>
        <c:auto val="1"/>
        <c:lblAlgn val="ctr"/>
        <c:lblOffset val="100"/>
        <c:noMultiLvlLbl val="0"/>
      </c:catAx>
      <c:valAx>
        <c:axId val="30001207"/>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Net width</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757864"/>
        <c:crosses val="max"/>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Vault salvage per level</a:t>
            </a:r>
          </a:p>
        </c:rich>
      </c:tx>
      <c:overlay val="0"/>
      <c:spPr>
        <a:noFill/>
        <a:ln w="0">
          <a:noFill/>
        </a:ln>
      </c:spPr>
    </c:title>
    <c:autoTitleDeleted val="0"/>
    <c:plotArea>
      <c:barChart>
        <c:barDir val="col"/>
        <c:grouping val="clustered"/>
        <c:varyColors val="0"/>
        <c:ser>
          <c:idx val="0"/>
          <c:order val="0"/>
          <c:tx>
            <c:strRef>
              <c:f>'Aegis Net'!C14</c:f>
              <c:strCache>
                <c:ptCount val="1"/>
                <c:pt idx="0">
                  <c:v>Upgrade cost</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'Aegis Net'!$A$15:$A$24</c:f>
              <c:strCache>
                <c:ptCount val="10"/>
                <c:pt idx="0">
                  <c:v>1</c:v>
                </c:pt>
                <c:pt idx="1">
                  <c:v>2</c:v>
                </c:pt>
                <c:pt idx="2">
                  <c:v>3</c:v>
                </c:pt>
                <c:pt idx="3">
                  <c:v>4</c:v>
                </c:pt>
                <c:pt idx="4">
                  <c:v>5</c:v>
                </c:pt>
                <c:pt idx="5">
                  <c:v>6</c:v>
                </c:pt>
                <c:pt idx="6">
                  <c:v>7</c:v>
                </c:pt>
                <c:pt idx="7">
                  <c:v>8</c:v>
                </c:pt>
                <c:pt idx="8">
                  <c:v>9</c:v>
                </c:pt>
                <c:pt idx="9">
                  <c:v>10</c:v>
                </c:pt>
              </c:strCache>
            </c:strRef>
          </c:cat>
          <c:val>
            <c:numRef>
              <c:f>'Aegis Net'!$C$15:$C$24</c:f>
              <c:numCache>
                <c:formatCode>#,##0</c:formatCode>
                <c:ptCount val="10"/>
                <c:pt idx="0">
                  <c:v>180</c:v>
                </c:pt>
                <c:pt idx="1">
                  <c:v>605</c:v>
                </c:pt>
                <c:pt idx="2">
                  <c:v>1230</c:v>
                </c:pt>
                <c:pt idx="3">
                  <c:v>2035</c:v>
                </c:pt>
                <c:pt idx="4">
                  <c:v>3010</c:v>
                </c:pt>
                <c:pt idx="5">
                  <c:v>4140</c:v>
                </c:pt>
                <c:pt idx="6">
                  <c:v>5420</c:v>
                </c:pt>
                <c:pt idx="7">
                  <c:v>6850</c:v>
                </c:pt>
                <c:pt idx="8">
                  <c:v>8420</c:v>
                </c:pt>
                <c:pt idx="9">
                  <c:v>10120</c:v>
                </c:pt>
              </c:numCache>
            </c:numRef>
          </c:val>
        </c:ser>
        <c:gapWidth val="150"/>
        <c:overlap val="0"/>
        <c:axId val="91766972"/>
        <c:axId val="25470007"/>
      </c:barChart>
      <c:catAx>
        <c:axId val="9176697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Garage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470007"/>
        <c:crosses val="autoZero"/>
        <c:auto val="1"/>
        <c:lblAlgn val="ctr"/>
        <c:lblOffset val="100"/>
        <c:noMultiLvlLbl val="0"/>
      </c:catAx>
      <c:valAx>
        <c:axId val="2547000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76697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Price of each shop level</a:t>
            </a:r>
          </a:p>
        </c:rich>
      </c:tx>
      <c:overlay val="0"/>
      <c:spPr>
        <a:noFill/>
        <a:ln w="0">
          <a:noFill/>
        </a:ln>
      </c:spPr>
    </c:title>
    <c:autoTitleDeleted val="0"/>
    <c:plotArea>
      <c:lineChart>
        <c:grouping val="standard"/>
        <c:varyColors val="0"/>
        <c:ser>
          <c:idx val="0"/>
          <c:order val="0"/>
          <c:tx>
            <c:strRef>
              <c:f>'Upgrade Shop'!B34</c:f>
              <c:strCache>
                <c:ptCount val="1"/>
                <c:pt idx="0">
                  <c:v>Missile Barrage</c:v>
                </c:pt>
              </c:strCache>
            </c:strRef>
          </c:tx>
          <c:spPr>
            <a:solidFill>
              <a:srgbClr val="426fa6"/>
            </a:solidFill>
            <a:ln w="28440">
              <a:solidFill>
                <a:srgbClr val="426fa6"/>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Shop'!$B$35:$B$44</c:f>
              <c:numCache>
                <c:formatCode>#,##0</c:formatCode>
                <c:ptCount val="10"/>
                <c:pt idx="0">
                  <c:v>30</c:v>
                </c:pt>
                <c:pt idx="1">
                  <c:v>50</c:v>
                </c:pt>
                <c:pt idx="2">
                  <c:v>65</c:v>
                </c:pt>
                <c:pt idx="3">
                  <c:v>90</c:v>
                </c:pt>
                <c:pt idx="4">
                  <c:v>125</c:v>
                </c:pt>
                <c:pt idx="5">
                  <c:v>155</c:v>
                </c:pt>
                <c:pt idx="6">
                  <c:v>195</c:v>
                </c:pt>
                <c:pt idx="7">
                  <c:v>235</c:v>
                </c:pt>
                <c:pt idx="8">
                  <c:v>285</c:v>
                </c:pt>
                <c:pt idx="9">
                  <c:v>340</c:v>
                </c:pt>
              </c:numCache>
            </c:numRef>
          </c:val>
          <c:smooth val="1"/>
        </c:ser>
        <c:ser>
          <c:idx val="1"/>
          <c:order val="1"/>
          <c:tx>
            <c:strRef>
              <c:f>'Upgrade Shop'!C34</c:f>
              <c:strCache>
                <c:ptCount val="1"/>
                <c:pt idx="0">
                  <c:v>Rapid Reload</c:v>
                </c:pt>
              </c:strCache>
            </c:strRef>
          </c:tx>
          <c:spPr>
            <a:solidFill>
              <a:srgbClr val="aa433f"/>
            </a:solidFill>
            <a:ln w="28440">
              <a:solidFill>
                <a:srgbClr val="aa433f"/>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Shop'!$C$35:$C$44</c:f>
              <c:numCache>
                <c:formatCode>#,##0</c:formatCode>
                <c:ptCount val="10"/>
                <c:pt idx="0">
                  <c:v>35</c:v>
                </c:pt>
                <c:pt idx="1">
                  <c:v>55</c:v>
                </c:pt>
                <c:pt idx="2">
                  <c:v>75</c:v>
                </c:pt>
                <c:pt idx="3">
                  <c:v>100</c:v>
                </c:pt>
                <c:pt idx="4">
                  <c:v>130</c:v>
                </c:pt>
                <c:pt idx="5">
                  <c:v>165</c:v>
                </c:pt>
                <c:pt idx="6">
                  <c:v>205</c:v>
                </c:pt>
                <c:pt idx="7">
                  <c:v>245</c:v>
                </c:pt>
                <c:pt idx="8">
                  <c:v>290</c:v>
                </c:pt>
                <c:pt idx="9">
                  <c:v>345</c:v>
                </c:pt>
              </c:numCache>
            </c:numRef>
          </c:val>
          <c:smooth val="1"/>
        </c:ser>
        <c:ser>
          <c:idx val="2"/>
          <c:order val="2"/>
          <c:tx>
            <c:strRef>
              <c:f>'Upgrade Shop'!D34</c:f>
              <c:strCache>
                <c:ptCount val="1"/>
                <c:pt idx="0">
                  <c:v>Wide Flak</c:v>
                </c:pt>
              </c:strCache>
            </c:strRef>
          </c:tx>
          <c:spPr>
            <a:solidFill>
              <a:srgbClr val="87a44b"/>
            </a:solidFill>
            <a:ln w="28440">
              <a:solidFill>
                <a:srgbClr val="87a44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Shop'!$D$35:$D$44</c:f>
              <c:numCache>
                <c:formatCode>#,##0</c:formatCode>
                <c:ptCount val="10"/>
                <c:pt idx="0">
                  <c:v>35</c:v>
                </c:pt>
                <c:pt idx="1">
                  <c:v>50</c:v>
                </c:pt>
                <c:pt idx="2">
                  <c:v>65</c:v>
                </c:pt>
                <c:pt idx="3">
                  <c:v>90</c:v>
                </c:pt>
                <c:pt idx="4">
                  <c:v>115</c:v>
                </c:pt>
                <c:pt idx="5">
                  <c:v>145</c:v>
                </c:pt>
                <c:pt idx="6">
                  <c:v>175</c:v>
                </c:pt>
                <c:pt idx="7">
                  <c:v>210</c:v>
                </c:pt>
                <c:pt idx="8">
                  <c:v>250</c:v>
                </c:pt>
                <c:pt idx="9">
                  <c:v>295</c:v>
                </c:pt>
              </c:numCache>
            </c:numRef>
          </c:val>
          <c:smooth val="1"/>
        </c:ser>
        <c:ser>
          <c:idx val="3"/>
          <c:order val="3"/>
          <c:tx>
            <c:strRef>
              <c:f>'Upgrade Shop'!E34</c:f>
              <c:strCache>
                <c:ptCount val="1"/>
                <c:pt idx="0">
                  <c:v>Heavy Flak</c:v>
                </c:pt>
              </c:strCache>
            </c:strRef>
          </c:tx>
          <c:spPr>
            <a:solidFill>
              <a:srgbClr val="6f568d"/>
            </a:solidFill>
            <a:ln w="28440">
              <a:solidFill>
                <a:srgbClr val="6f568d"/>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Shop'!$E$35:$E$44</c:f>
              <c:numCache>
                <c:formatCode>#,##0</c:formatCode>
                <c:ptCount val="10"/>
                <c:pt idx="0">
                  <c:v>40</c:v>
                </c:pt>
                <c:pt idx="1">
                  <c:v>100</c:v>
                </c:pt>
                <c:pt idx="2">
                  <c:v>175</c:v>
                </c:pt>
                <c:pt idx="3">
                  <c:v>270</c:v>
                </c:pt>
                <c:pt idx="4">
                  <c:v>390</c:v>
                </c:pt>
              </c:numCache>
            </c:numRef>
          </c:val>
          <c:smooth val="1"/>
        </c:ser>
        <c:ser>
          <c:idx val="4"/>
          <c:order val="4"/>
          <c:tx>
            <c:strRef>
              <c:f>'Upgrade Shop'!F34</c:f>
              <c:strCache>
                <c:ptCount val="1"/>
                <c:pt idx="0">
                  <c:v>Station Overclock</c:v>
                </c:pt>
              </c:strCache>
            </c:strRef>
          </c:tx>
          <c:spPr>
            <a:solidFill>
              <a:srgbClr val="3d97af"/>
            </a:solidFill>
            <a:ln w="28440">
              <a:solidFill>
                <a:srgbClr val="3d97af"/>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Shop'!$F$35:$F$44</c:f>
              <c:numCache>
                <c:formatCode>#,##0</c:formatCode>
                <c:ptCount val="10"/>
                <c:pt idx="0">
                  <c:v>75</c:v>
                </c:pt>
                <c:pt idx="1">
                  <c:v>95</c:v>
                </c:pt>
                <c:pt idx="2">
                  <c:v>115</c:v>
                </c:pt>
                <c:pt idx="3">
                  <c:v>145</c:v>
                </c:pt>
                <c:pt idx="4">
                  <c:v>185</c:v>
                </c:pt>
                <c:pt idx="5">
                  <c:v>220</c:v>
                </c:pt>
                <c:pt idx="6">
                  <c:v>270</c:v>
                </c:pt>
                <c:pt idx="7">
                  <c:v>315</c:v>
                </c:pt>
                <c:pt idx="8">
                  <c:v>370</c:v>
                </c:pt>
                <c:pt idx="9">
                  <c:v>435</c:v>
                </c:pt>
              </c:numCache>
            </c:numRef>
          </c:val>
          <c:smooth val="1"/>
        </c:ser>
        <c:ser>
          <c:idx val="5"/>
          <c:order val="5"/>
          <c:tx>
            <c:strRef>
              <c:f>'Upgrade Shop'!G34</c:f>
              <c:strCache>
                <c:ptCount val="1"/>
                <c:pt idx="0">
                  <c:v>Shield Capacitor</c:v>
                </c:pt>
              </c:strCache>
            </c:strRef>
          </c:tx>
          <c:spPr>
            <a:solidFill>
              <a:srgbClr val="db8238"/>
            </a:solidFill>
            <a:ln w="28440">
              <a:solidFill>
                <a:srgbClr val="db823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Shop'!$G$35:$G$44</c:f>
              <c:numCache>
                <c:formatCode>#,##0</c:formatCode>
                <c:ptCount val="10"/>
                <c:pt idx="0">
                  <c:v>30</c:v>
                </c:pt>
                <c:pt idx="1">
                  <c:v>50</c:v>
                </c:pt>
                <c:pt idx="2">
                  <c:v>65</c:v>
                </c:pt>
                <c:pt idx="3">
                  <c:v>90</c:v>
                </c:pt>
                <c:pt idx="4">
                  <c:v>125</c:v>
                </c:pt>
                <c:pt idx="5">
                  <c:v>155</c:v>
                </c:pt>
                <c:pt idx="6">
                  <c:v>195</c:v>
                </c:pt>
                <c:pt idx="7">
                  <c:v>235</c:v>
                </c:pt>
                <c:pt idx="8">
                  <c:v>285</c:v>
                </c:pt>
                <c:pt idx="9">
                  <c:v>340</c:v>
                </c:pt>
              </c:numCache>
            </c:numRef>
          </c:val>
          <c:smooth val="1"/>
        </c:ser>
        <c:ser>
          <c:idx val="6"/>
          <c:order val="6"/>
          <c:tx>
            <c:strRef>
              <c:f>'Upgrade Shop'!H34</c:f>
              <c:strCache>
                <c:ptCount val="1"/>
                <c:pt idx="0">
                  <c:v>Shield Regen</c:v>
                </c:pt>
              </c:strCache>
            </c:strRef>
          </c:tx>
          <c:spPr>
            <a:solidFill>
              <a:srgbClr val="8ea5ca"/>
            </a:solidFill>
            <a:ln w="28440">
              <a:solidFill>
                <a:srgbClr val="8ea5ca"/>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Shop'!$H$35:$H$44</c:f>
              <c:numCache>
                <c:formatCode>#,##0</c:formatCode>
                <c:ptCount val="10"/>
                <c:pt idx="0">
                  <c:v>55</c:v>
                </c:pt>
                <c:pt idx="1">
                  <c:v>75</c:v>
                </c:pt>
                <c:pt idx="2">
                  <c:v>90</c:v>
                </c:pt>
                <c:pt idx="3">
                  <c:v>115</c:v>
                </c:pt>
                <c:pt idx="4">
                  <c:v>150</c:v>
                </c:pt>
                <c:pt idx="5">
                  <c:v>180</c:v>
                </c:pt>
                <c:pt idx="6">
                  <c:v>220</c:v>
                </c:pt>
                <c:pt idx="7">
                  <c:v>260</c:v>
                </c:pt>
                <c:pt idx="8">
                  <c:v>310</c:v>
                </c:pt>
                <c:pt idx="9">
                  <c:v>365</c:v>
                </c:pt>
              </c:numCache>
            </c:numRef>
          </c:val>
          <c:smooth val="1"/>
        </c:ser>
        <c:ser>
          <c:idx val="7"/>
          <c:order val="7"/>
          <c:tx>
            <c:strRef>
              <c:f>'Upgrade Shop'!I34</c:f>
              <c:strCache>
                <c:ptCount val="1"/>
                <c:pt idx="0">
                  <c:v>Pulse Capacitor</c:v>
                </c:pt>
              </c:strCache>
            </c:strRef>
          </c:tx>
          <c:spPr>
            <a:solidFill>
              <a:srgbClr val="cc8f8e"/>
            </a:solidFill>
            <a:ln w="28440">
              <a:solidFill>
                <a:srgbClr val="cc8f8e"/>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Shop'!$I$35:$I$44</c:f>
              <c:numCache>
                <c:formatCode>#,##0</c:formatCode>
                <c:ptCount val="10"/>
                <c:pt idx="0">
                  <c:v>50</c:v>
                </c:pt>
                <c:pt idx="1">
                  <c:v>65</c:v>
                </c:pt>
                <c:pt idx="2">
                  <c:v>85</c:v>
                </c:pt>
                <c:pt idx="3">
                  <c:v>110</c:v>
                </c:pt>
                <c:pt idx="4">
                  <c:v>140</c:v>
                </c:pt>
                <c:pt idx="5">
                  <c:v>175</c:v>
                </c:pt>
                <c:pt idx="6">
                  <c:v>215</c:v>
                </c:pt>
                <c:pt idx="7">
                  <c:v>255</c:v>
                </c:pt>
                <c:pt idx="8">
                  <c:v>300</c:v>
                </c:pt>
                <c:pt idx="9">
                  <c:v>355</c:v>
                </c:pt>
              </c:numCache>
            </c:numRef>
          </c:val>
          <c:smooth val="1"/>
        </c:ser>
        <c:ser>
          <c:idx val="8"/>
          <c:order val="8"/>
          <c:tx>
            <c:strRef>
              <c:f>'Upgrade Shop'!J34</c:f>
              <c:strCache>
                <c:ptCount val="1"/>
                <c:pt idx="0">
                  <c:v>Hull Plating</c:v>
                </c:pt>
              </c:strCache>
            </c:strRef>
          </c:tx>
          <c:spPr>
            <a:solidFill>
              <a:srgbClr val="b3c992"/>
            </a:solidFill>
            <a:ln w="28440">
              <a:solidFill>
                <a:srgbClr val="b3c992"/>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'Upgrade Shop'!$A$35:$A$44</c:f>
              <c:strCache>
                <c:ptCount val="10"/>
                <c:pt idx="0">
                  <c:v>1</c:v>
                </c:pt>
                <c:pt idx="1">
                  <c:v>2</c:v>
                </c:pt>
                <c:pt idx="2">
                  <c:v>3</c:v>
                </c:pt>
                <c:pt idx="3">
                  <c:v>4</c:v>
                </c:pt>
                <c:pt idx="4">
                  <c:v>5</c:v>
                </c:pt>
                <c:pt idx="5">
                  <c:v>6</c:v>
                </c:pt>
                <c:pt idx="6">
                  <c:v>7</c:v>
                </c:pt>
                <c:pt idx="7">
                  <c:v>8</c:v>
                </c:pt>
                <c:pt idx="8">
                  <c:v>9</c:v>
                </c:pt>
                <c:pt idx="9">
                  <c:v>10</c:v>
                </c:pt>
              </c:strCache>
            </c:strRef>
          </c:cat>
          <c:val>
            <c:numRef>
              <c:f>'Upgrade Shop'!$J$35:$J$44</c:f>
              <c:numCache>
                <c:formatCode>#,##0</c:formatCode>
                <c:ptCount val="10"/>
                <c:pt idx="0">
                  <c:v>35</c:v>
                </c:pt>
                <c:pt idx="1">
                  <c:v>50</c:v>
                </c:pt>
                <c:pt idx="2">
                  <c:v>65</c:v>
                </c:pt>
                <c:pt idx="3">
                  <c:v>85</c:v>
                </c:pt>
                <c:pt idx="4">
                  <c:v>115</c:v>
                </c:pt>
                <c:pt idx="5">
                  <c:v>140</c:v>
                </c:pt>
                <c:pt idx="6">
                  <c:v>175</c:v>
                </c:pt>
                <c:pt idx="7">
                  <c:v>205</c:v>
                </c:pt>
                <c:pt idx="8">
                  <c:v>245</c:v>
                </c:pt>
                <c:pt idx="9">
                  <c:v>290</c:v>
                </c:pt>
              </c:numCache>
            </c:numRef>
          </c:val>
          <c:smooth val="1"/>
        </c:ser>
        <c:hiLowLines>
          <c:spPr>
            <a:ln w="0">
              <a:noFill/>
            </a:ln>
          </c:spPr>
        </c:hiLowLines>
        <c:marker val="0"/>
        <c:axId val="91280260"/>
        <c:axId val="63356703"/>
      </c:lineChart>
      <c:catAx>
        <c:axId val="9128026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Card level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356703"/>
        <c:crosses val="autoZero"/>
        <c:auto val="1"/>
        <c:lblAlgn val="ctr"/>
        <c:lblOffset val="100"/>
        <c:noMultiLvlLbl val="0"/>
      </c:catAx>
      <c:valAx>
        <c:axId val="6335670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Run salvage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28026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charts/chart2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Enemy speed by wave</a:t>
            </a:r>
          </a:p>
        </c:rich>
      </c:tx>
      <c:overlay val="0"/>
      <c:spPr>
        <a:noFill/>
        <a:ln w="0">
          <a:noFill/>
        </a:ln>
      </c:spPr>
    </c:title>
    <c:autoTitleDeleted val="0"/>
    <c:plotArea>
      <c:lineChart>
        <c:grouping val="standard"/>
        <c:varyColors val="0"/>
        <c:ser>
          <c:idx val="0"/>
          <c:order val="0"/>
          <c:tx>
            <c:strRef>
              <c:f>Escalation!B5</c:f>
              <c:strCache>
                <c:ptCount val="1"/>
                <c:pt idx="0">
                  <c:v>Speed ×</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Escalation!$B$6:$B$105</c:f>
              <c:numCache>
                <c:formatCode>0.00</c:formatCode>
                <c:ptCount val="100"/>
                <c:pt idx="0">
                  <c:v>1.02</c:v>
                </c:pt>
                <c:pt idx="1">
                  <c:v>1.04</c:v>
                </c:pt>
                <c:pt idx="2">
                  <c:v>1.06</c:v>
                </c:pt>
                <c:pt idx="3">
                  <c:v>1.08</c:v>
                </c:pt>
                <c:pt idx="4">
                  <c:v>1.1</c:v>
                </c:pt>
                <c:pt idx="5">
                  <c:v>1.12</c:v>
                </c:pt>
                <c:pt idx="6">
                  <c:v>1.14</c:v>
                </c:pt>
                <c:pt idx="7">
                  <c:v>1.16</c:v>
                </c:pt>
                <c:pt idx="8">
                  <c:v>1.18</c:v>
                </c:pt>
                <c:pt idx="9">
                  <c:v>1.2</c:v>
                </c:pt>
                <c:pt idx="10">
                  <c:v>1.22</c:v>
                </c:pt>
                <c:pt idx="11">
                  <c:v>1.24</c:v>
                </c:pt>
                <c:pt idx="12">
                  <c:v>1.26</c:v>
                </c:pt>
                <c:pt idx="13">
                  <c:v>1.28</c:v>
                </c:pt>
                <c:pt idx="14">
                  <c:v>1.3</c:v>
                </c:pt>
                <c:pt idx="15">
                  <c:v>1.32</c:v>
                </c:pt>
                <c:pt idx="16">
                  <c:v>1.34</c:v>
                </c:pt>
                <c:pt idx="17">
                  <c:v>1.36</c:v>
                </c:pt>
                <c:pt idx="18">
                  <c:v>1.38</c:v>
                </c:pt>
                <c:pt idx="19">
                  <c:v>1.4</c:v>
                </c:pt>
                <c:pt idx="20">
                  <c:v>1.42</c:v>
                </c:pt>
                <c:pt idx="21">
                  <c:v>1.44</c:v>
                </c:pt>
                <c:pt idx="22">
                  <c:v>1.46</c:v>
                </c:pt>
                <c:pt idx="23">
                  <c:v>1.48</c:v>
                </c:pt>
                <c:pt idx="24">
                  <c:v>1.5</c:v>
                </c:pt>
                <c:pt idx="25">
                  <c:v>1.51</c:v>
                </c:pt>
                <c:pt idx="26">
                  <c:v>1.52</c:v>
                </c:pt>
                <c:pt idx="27">
                  <c:v>1.53</c:v>
                </c:pt>
                <c:pt idx="28">
                  <c:v>1.54</c:v>
                </c:pt>
                <c:pt idx="29">
                  <c:v>1.55</c:v>
                </c:pt>
                <c:pt idx="30">
                  <c:v>1.56</c:v>
                </c:pt>
                <c:pt idx="31">
                  <c:v>1.57</c:v>
                </c:pt>
                <c:pt idx="32">
                  <c:v>1.58</c:v>
                </c:pt>
                <c:pt idx="33">
                  <c:v>1.59</c:v>
                </c:pt>
                <c:pt idx="34">
                  <c:v>1.6</c:v>
                </c:pt>
                <c:pt idx="35">
                  <c:v>1.61</c:v>
                </c:pt>
                <c:pt idx="36">
                  <c:v>1.62</c:v>
                </c:pt>
                <c:pt idx="37">
                  <c:v>1.63</c:v>
                </c:pt>
                <c:pt idx="38">
                  <c:v>1.64</c:v>
                </c:pt>
                <c:pt idx="39">
                  <c:v>1.65</c:v>
                </c:pt>
                <c:pt idx="40">
                  <c:v>1.66</c:v>
                </c:pt>
                <c:pt idx="41">
                  <c:v>1.67</c:v>
                </c:pt>
                <c:pt idx="42">
                  <c:v>1.68</c:v>
                </c:pt>
                <c:pt idx="43">
                  <c:v>1.69</c:v>
                </c:pt>
                <c:pt idx="44">
                  <c:v>1.7</c:v>
                </c:pt>
                <c:pt idx="45">
                  <c:v>1.71</c:v>
                </c:pt>
                <c:pt idx="46">
                  <c:v>1.72</c:v>
                </c:pt>
                <c:pt idx="47">
                  <c:v>1.73</c:v>
                </c:pt>
                <c:pt idx="48">
                  <c:v>1.74</c:v>
                </c:pt>
                <c:pt idx="49">
                  <c:v>1.75</c:v>
                </c:pt>
                <c:pt idx="50">
                  <c:v>1.76</c:v>
                </c:pt>
                <c:pt idx="51">
                  <c:v>1.77</c:v>
                </c:pt>
                <c:pt idx="52">
                  <c:v>1.78</c:v>
                </c:pt>
                <c:pt idx="53">
                  <c:v>1.79</c:v>
                </c:pt>
                <c:pt idx="54">
                  <c:v>1.8</c:v>
                </c:pt>
                <c:pt idx="55">
                  <c:v>1.804</c:v>
                </c:pt>
                <c:pt idx="56">
                  <c:v>1.808</c:v>
                </c:pt>
                <c:pt idx="57">
                  <c:v>1.812</c:v>
                </c:pt>
                <c:pt idx="58">
                  <c:v>1.816</c:v>
                </c:pt>
                <c:pt idx="59">
                  <c:v>1.82</c:v>
                </c:pt>
                <c:pt idx="60">
                  <c:v>1.824</c:v>
                </c:pt>
                <c:pt idx="61">
                  <c:v>1.828</c:v>
                </c:pt>
                <c:pt idx="62">
                  <c:v>1.832</c:v>
                </c:pt>
                <c:pt idx="63">
                  <c:v>1.836</c:v>
                </c:pt>
                <c:pt idx="64">
                  <c:v>1.84</c:v>
                </c:pt>
                <c:pt idx="65">
                  <c:v>1.844</c:v>
                </c:pt>
                <c:pt idx="66">
                  <c:v>1.848</c:v>
                </c:pt>
                <c:pt idx="67">
                  <c:v>1.852</c:v>
                </c:pt>
                <c:pt idx="68">
                  <c:v>1.856</c:v>
                </c:pt>
                <c:pt idx="69">
                  <c:v>1.86</c:v>
                </c:pt>
                <c:pt idx="70">
                  <c:v>1.864</c:v>
                </c:pt>
                <c:pt idx="71">
                  <c:v>1.868</c:v>
                </c:pt>
                <c:pt idx="72">
                  <c:v>1.872</c:v>
                </c:pt>
                <c:pt idx="73">
                  <c:v>1.876</c:v>
                </c:pt>
                <c:pt idx="74">
                  <c:v>1.88</c:v>
                </c:pt>
                <c:pt idx="75">
                  <c:v>1.884</c:v>
                </c:pt>
                <c:pt idx="76">
                  <c:v>1.888</c:v>
                </c:pt>
                <c:pt idx="77">
                  <c:v>1.892</c:v>
                </c:pt>
                <c:pt idx="78">
                  <c:v>1.896</c:v>
                </c:pt>
                <c:pt idx="79">
                  <c:v>1.9</c:v>
                </c:pt>
                <c:pt idx="80">
                  <c:v>1.904</c:v>
                </c:pt>
                <c:pt idx="81">
                  <c:v>1.908</c:v>
                </c:pt>
                <c:pt idx="82">
                  <c:v>1.912</c:v>
                </c:pt>
                <c:pt idx="83">
                  <c:v>1.916</c:v>
                </c:pt>
                <c:pt idx="84">
                  <c:v>1.92</c:v>
                </c:pt>
                <c:pt idx="85">
                  <c:v>1.924</c:v>
                </c:pt>
                <c:pt idx="86">
                  <c:v>1.928</c:v>
                </c:pt>
                <c:pt idx="87">
                  <c:v>1.932</c:v>
                </c:pt>
                <c:pt idx="88">
                  <c:v>1.936</c:v>
                </c:pt>
                <c:pt idx="89">
                  <c:v>1.94</c:v>
                </c:pt>
                <c:pt idx="90">
                  <c:v>1.944</c:v>
                </c:pt>
                <c:pt idx="91">
                  <c:v>1.948</c:v>
                </c:pt>
                <c:pt idx="92">
                  <c:v>1.952</c:v>
                </c:pt>
                <c:pt idx="93">
                  <c:v>1.956</c:v>
                </c:pt>
                <c:pt idx="94">
                  <c:v>1.96</c:v>
                </c:pt>
                <c:pt idx="95">
                  <c:v>1.964</c:v>
                </c:pt>
                <c:pt idx="96">
                  <c:v>1.968</c:v>
                </c:pt>
                <c:pt idx="97">
                  <c:v>1.972</c:v>
                </c:pt>
                <c:pt idx="98">
                  <c:v>1.976</c:v>
                </c:pt>
                <c:pt idx="99">
                  <c:v>1.98</c:v>
                </c:pt>
              </c:numCache>
            </c:numRef>
          </c:val>
          <c:smooth val="1"/>
        </c:ser>
        <c:hiLowLines>
          <c:spPr>
            <a:ln w="0">
              <a:noFill/>
            </a:ln>
          </c:spPr>
        </c:hiLowLines>
        <c:marker val="0"/>
        <c:axId val="96095418"/>
        <c:axId val="12379824"/>
      </c:lineChart>
      <c:catAx>
        <c:axId val="9609541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Wave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379824"/>
        <c:crosses val="autoZero"/>
        <c:auto val="1"/>
        <c:lblAlgn val="ctr"/>
        <c:lblOffset val="100"/>
        <c:noMultiLvlLbl val="0"/>
      </c:catAx>
      <c:valAx>
        <c:axId val="1237982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Speed ×</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09541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Extra hull points by wave</a:t>
            </a:r>
          </a:p>
        </c:rich>
      </c:tx>
      <c:overlay val="0"/>
      <c:spPr>
        <a:noFill/>
        <a:ln w="0">
          <a:noFill/>
        </a:ln>
      </c:spPr>
    </c:title>
    <c:autoTitleDeleted val="0"/>
    <c:plotArea>
      <c:lineChart>
        <c:grouping val="standard"/>
        <c:varyColors val="0"/>
        <c:ser>
          <c:idx val="0"/>
          <c:order val="0"/>
          <c:tx>
            <c:strRef>
              <c:f>Escalation!C5</c:f>
              <c:strCache>
                <c:ptCount val="1"/>
                <c:pt idx="0">
                  <c:v>Extra HP (heavy hulls)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Escalation!$C$6:$C$105</c:f>
              <c:numCache>
                <c:formatCode>0</c:formatCode>
                <c:ptCount val="100"/>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1</c:v>
                </c:pt>
                <c:pt idx="16">
                  <c:v>1</c:v>
                </c:pt>
                <c:pt idx="17">
                  <c:v>2</c:v>
                </c:pt>
                <c:pt idx="18">
                  <c:v>2</c:v>
                </c:pt>
                <c:pt idx="19">
                  <c:v>2</c:v>
                </c:pt>
                <c:pt idx="20">
                  <c:v>2</c:v>
                </c:pt>
                <c:pt idx="21">
                  <c:v>2</c:v>
                </c:pt>
                <c:pt idx="22">
                  <c:v>3</c:v>
                </c:pt>
                <c:pt idx="23">
                  <c:v>3</c:v>
                </c:pt>
                <c:pt idx="24">
                  <c:v>3</c:v>
                </c:pt>
                <c:pt idx="25">
                  <c:v>3</c:v>
                </c:pt>
                <c:pt idx="26">
                  <c:v>3</c:v>
                </c:pt>
                <c:pt idx="27">
                  <c:v>4</c:v>
                </c:pt>
                <c:pt idx="28">
                  <c:v>4</c:v>
                </c:pt>
                <c:pt idx="29">
                  <c:v>4</c:v>
                </c:pt>
                <c:pt idx="30">
                  <c:v>4</c:v>
                </c:pt>
                <c:pt idx="31">
                  <c:v>4</c:v>
                </c:pt>
                <c:pt idx="32">
                  <c:v>5</c:v>
                </c:pt>
                <c:pt idx="33">
                  <c:v>5</c:v>
                </c:pt>
                <c:pt idx="34">
                  <c:v>5</c:v>
                </c:pt>
                <c:pt idx="35">
                  <c:v>5</c:v>
                </c:pt>
                <c:pt idx="36">
                  <c:v>5</c:v>
                </c:pt>
                <c:pt idx="37">
                  <c:v>6</c:v>
                </c:pt>
                <c:pt idx="38">
                  <c:v>6</c:v>
                </c:pt>
                <c:pt idx="39">
                  <c:v>6</c:v>
                </c:pt>
                <c:pt idx="40">
                  <c:v>6</c:v>
                </c:pt>
                <c:pt idx="41">
                  <c:v>6</c:v>
                </c:pt>
                <c:pt idx="42">
                  <c:v>7</c:v>
                </c:pt>
                <c:pt idx="43">
                  <c:v>7</c:v>
                </c:pt>
                <c:pt idx="44">
                  <c:v>7</c:v>
                </c:pt>
                <c:pt idx="45">
                  <c:v>7</c:v>
                </c:pt>
                <c:pt idx="46">
                  <c:v>7</c:v>
                </c:pt>
                <c:pt idx="47">
                  <c:v>8</c:v>
                </c:pt>
                <c:pt idx="48">
                  <c:v>8</c:v>
                </c:pt>
                <c:pt idx="49">
                  <c:v>8</c:v>
                </c:pt>
                <c:pt idx="50">
                  <c:v>8</c:v>
                </c:pt>
                <c:pt idx="51">
                  <c:v>8</c:v>
                </c:pt>
                <c:pt idx="52">
                  <c:v>9</c:v>
                </c:pt>
                <c:pt idx="53">
                  <c:v>9</c:v>
                </c:pt>
                <c:pt idx="54">
                  <c:v>9</c:v>
                </c:pt>
                <c:pt idx="55">
                  <c:v>9</c:v>
                </c:pt>
                <c:pt idx="56">
                  <c:v>9</c:v>
                </c:pt>
                <c:pt idx="57">
                  <c:v>10</c:v>
                </c:pt>
                <c:pt idx="58">
                  <c:v>10</c:v>
                </c:pt>
                <c:pt idx="59">
                  <c:v>10</c:v>
                </c:pt>
                <c:pt idx="60">
                  <c:v>10</c:v>
                </c:pt>
                <c:pt idx="61">
                  <c:v>10</c:v>
                </c:pt>
                <c:pt idx="62">
                  <c:v>11</c:v>
                </c:pt>
                <c:pt idx="63">
                  <c:v>11</c:v>
                </c:pt>
                <c:pt idx="64">
                  <c:v>11</c:v>
                </c:pt>
                <c:pt idx="65">
                  <c:v>11</c:v>
                </c:pt>
                <c:pt idx="66">
                  <c:v>11</c:v>
                </c:pt>
                <c:pt idx="67">
                  <c:v>12</c:v>
                </c:pt>
                <c:pt idx="68">
                  <c:v>12</c:v>
                </c:pt>
                <c:pt idx="69">
                  <c:v>12</c:v>
                </c:pt>
                <c:pt idx="70">
                  <c:v>12</c:v>
                </c:pt>
                <c:pt idx="71">
                  <c:v>12</c:v>
                </c:pt>
                <c:pt idx="72">
                  <c:v>13</c:v>
                </c:pt>
                <c:pt idx="73">
                  <c:v>13</c:v>
                </c:pt>
                <c:pt idx="74">
                  <c:v>13</c:v>
                </c:pt>
                <c:pt idx="75">
                  <c:v>13</c:v>
                </c:pt>
                <c:pt idx="76">
                  <c:v>13</c:v>
                </c:pt>
                <c:pt idx="77">
                  <c:v>14</c:v>
                </c:pt>
                <c:pt idx="78">
                  <c:v>14</c:v>
                </c:pt>
                <c:pt idx="79">
                  <c:v>14</c:v>
                </c:pt>
                <c:pt idx="80">
                  <c:v>14</c:v>
                </c:pt>
                <c:pt idx="81">
                  <c:v>14</c:v>
                </c:pt>
                <c:pt idx="82">
                  <c:v>15</c:v>
                </c:pt>
                <c:pt idx="83">
                  <c:v>15</c:v>
                </c:pt>
                <c:pt idx="84">
                  <c:v>15</c:v>
                </c:pt>
                <c:pt idx="85">
                  <c:v>15</c:v>
                </c:pt>
                <c:pt idx="86">
                  <c:v>15</c:v>
                </c:pt>
                <c:pt idx="87">
                  <c:v>16</c:v>
                </c:pt>
                <c:pt idx="88">
                  <c:v>16</c:v>
                </c:pt>
                <c:pt idx="89">
                  <c:v>16</c:v>
                </c:pt>
                <c:pt idx="90">
                  <c:v>16</c:v>
                </c:pt>
                <c:pt idx="91">
                  <c:v>16</c:v>
                </c:pt>
                <c:pt idx="92">
                  <c:v>17</c:v>
                </c:pt>
                <c:pt idx="93">
                  <c:v>17</c:v>
                </c:pt>
                <c:pt idx="94">
                  <c:v>17</c:v>
                </c:pt>
                <c:pt idx="95">
                  <c:v>17</c:v>
                </c:pt>
                <c:pt idx="96">
                  <c:v>17</c:v>
                </c:pt>
                <c:pt idx="97">
                  <c:v>18</c:v>
                </c:pt>
                <c:pt idx="98">
                  <c:v>18</c:v>
                </c:pt>
                <c:pt idx="99">
                  <c:v>18</c:v>
                </c:pt>
              </c:numCache>
            </c:numRef>
          </c:val>
          <c:smooth val="1"/>
        </c:ser>
        <c:ser>
          <c:idx val="1"/>
          <c:order val="1"/>
          <c:tx>
            <c:strRef>
              <c:f>Escalation!D5</c:f>
              <c:strCache>
                <c:ptCount val="1"/>
                <c:pt idx="0">
                  <c:v>Extra HP (light hulls)</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Escalation!$D$6:$D$105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1</c:v>
                </c:pt>
                <c:pt idx="26">
                  <c:v>1</c:v>
                </c:pt>
                <c:pt idx="27">
                  <c:v>1</c:v>
                </c:pt>
                <c:pt idx="28">
                  <c:v>1</c:v>
                </c:pt>
                <c:pt idx="29">
                  <c:v>1</c:v>
                </c:pt>
                <c:pt idx="30">
                  <c:v>1</c:v>
                </c:pt>
                <c:pt idx="31">
                  <c:v>1</c:v>
                </c:pt>
                <c:pt idx="32">
                  <c:v>1</c:v>
                </c:pt>
                <c:pt idx="33">
                  <c:v>1</c:v>
                </c:pt>
                <c:pt idx="34">
                  <c:v>1</c:v>
                </c:pt>
                <c:pt idx="35">
                  <c:v>1</c:v>
                </c:pt>
                <c:pt idx="36">
                  <c:v>1</c:v>
                </c:pt>
                <c:pt idx="37">
                  <c:v>2</c:v>
                </c:pt>
                <c:pt idx="38">
                  <c:v>2</c:v>
                </c:pt>
                <c:pt idx="39">
                  <c:v>2</c:v>
                </c:pt>
                <c:pt idx="40">
                  <c:v>2</c:v>
                </c:pt>
                <c:pt idx="41">
                  <c:v>2</c:v>
                </c:pt>
                <c:pt idx="42">
                  <c:v>2</c:v>
                </c:pt>
                <c:pt idx="43">
                  <c:v>2</c:v>
                </c:pt>
                <c:pt idx="44">
                  <c:v>2</c:v>
                </c:pt>
                <c:pt idx="45">
                  <c:v>2</c:v>
                </c:pt>
                <c:pt idx="46">
                  <c:v>2</c:v>
                </c:pt>
                <c:pt idx="47">
                  <c:v>2</c:v>
                </c:pt>
                <c:pt idx="48">
                  <c:v>2</c:v>
                </c:pt>
                <c:pt idx="49">
                  <c:v>3</c:v>
                </c:pt>
                <c:pt idx="50">
                  <c:v>3</c:v>
                </c:pt>
                <c:pt idx="51">
                  <c:v>3</c:v>
                </c:pt>
                <c:pt idx="52">
                  <c:v>3</c:v>
                </c:pt>
                <c:pt idx="53">
                  <c:v>3</c:v>
                </c:pt>
                <c:pt idx="54">
                  <c:v>3</c:v>
                </c:pt>
                <c:pt idx="55">
                  <c:v>3</c:v>
                </c:pt>
                <c:pt idx="56">
                  <c:v>3</c:v>
                </c:pt>
                <c:pt idx="57">
                  <c:v>3</c:v>
                </c:pt>
                <c:pt idx="58">
                  <c:v>3</c:v>
                </c:pt>
                <c:pt idx="59">
                  <c:v>3</c:v>
                </c:pt>
                <c:pt idx="60">
                  <c:v>3</c:v>
                </c:pt>
                <c:pt idx="61">
                  <c:v>4</c:v>
                </c:pt>
                <c:pt idx="62">
                  <c:v>4</c:v>
                </c:pt>
                <c:pt idx="63">
                  <c:v>4</c:v>
                </c:pt>
                <c:pt idx="64">
                  <c:v>4</c:v>
                </c:pt>
                <c:pt idx="65">
                  <c:v>4</c:v>
                </c:pt>
                <c:pt idx="66">
                  <c:v>4</c:v>
                </c:pt>
                <c:pt idx="67">
                  <c:v>4</c:v>
                </c:pt>
                <c:pt idx="68">
                  <c:v>4</c:v>
                </c:pt>
                <c:pt idx="69">
                  <c:v>4</c:v>
                </c:pt>
                <c:pt idx="70">
                  <c:v>4</c:v>
                </c:pt>
                <c:pt idx="71">
                  <c:v>4</c:v>
                </c:pt>
                <c:pt idx="72">
                  <c:v>4</c:v>
                </c:pt>
                <c:pt idx="73">
                  <c:v>5</c:v>
                </c:pt>
                <c:pt idx="74">
                  <c:v>5</c:v>
                </c:pt>
                <c:pt idx="75">
                  <c:v>5</c:v>
                </c:pt>
                <c:pt idx="76">
                  <c:v>5</c:v>
                </c:pt>
                <c:pt idx="77">
                  <c:v>5</c:v>
                </c:pt>
                <c:pt idx="78">
                  <c:v>5</c:v>
                </c:pt>
                <c:pt idx="79">
                  <c:v>5</c:v>
                </c:pt>
                <c:pt idx="80">
                  <c:v>5</c:v>
                </c:pt>
                <c:pt idx="81">
                  <c:v>5</c:v>
                </c:pt>
                <c:pt idx="82">
                  <c:v>5</c:v>
                </c:pt>
                <c:pt idx="83">
                  <c:v>5</c:v>
                </c:pt>
                <c:pt idx="84">
                  <c:v>5</c:v>
                </c:pt>
                <c:pt idx="85">
                  <c:v>6</c:v>
                </c:pt>
                <c:pt idx="86">
                  <c:v>6</c:v>
                </c:pt>
                <c:pt idx="87">
                  <c:v>6</c:v>
                </c:pt>
                <c:pt idx="88">
                  <c:v>6</c:v>
                </c:pt>
                <c:pt idx="89">
                  <c:v>6</c:v>
                </c:pt>
                <c:pt idx="90">
                  <c:v>6</c:v>
                </c:pt>
                <c:pt idx="91">
                  <c:v>6</c:v>
                </c:pt>
                <c:pt idx="92">
                  <c:v>6</c:v>
                </c:pt>
                <c:pt idx="93">
                  <c:v>6</c:v>
                </c:pt>
                <c:pt idx="94">
                  <c:v>6</c:v>
                </c:pt>
                <c:pt idx="95">
                  <c:v>6</c:v>
                </c:pt>
                <c:pt idx="96">
                  <c:v>6</c:v>
                </c:pt>
                <c:pt idx="97">
                  <c:v>7</c:v>
                </c:pt>
                <c:pt idx="98">
                  <c:v>7</c:v>
                </c:pt>
                <c:pt idx="99">
                  <c:v>7</c:v>
                </c:pt>
              </c:numCache>
            </c:numRef>
          </c:val>
          <c:smooth val="1"/>
        </c:ser>
        <c:hiLowLines>
          <c:spPr>
            <a:ln w="0">
              <a:noFill/>
            </a:ln>
          </c:spPr>
        </c:hiLowLines>
        <c:marker val="0"/>
        <c:axId val="9949290"/>
        <c:axId val="56915651"/>
      </c:lineChart>
      <c:catAx>
        <c:axId val="994929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Wave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915651"/>
        <c:crosses val="autoZero"/>
        <c:auto val="1"/>
        <c:lblAlgn val="ctr"/>
        <c:lblOffset val="100"/>
        <c:noMultiLvlLbl val="0"/>
      </c:catAx>
      <c:valAx>
        <c:axId val="5691565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Extra HP</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4929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Specials on the field</a:t>
            </a:r>
          </a:p>
        </c:rich>
      </c:tx>
      <c:overlay val="0"/>
      <c:spPr>
        <a:noFill/>
        <a:ln w="0">
          <a:noFill/>
        </a:ln>
      </c:spPr>
    </c:title>
    <c:autoTitleDeleted val="0"/>
    <c:plotArea>
      <c:lineChart>
        <c:grouping val="standard"/>
        <c:varyColors val="0"/>
        <c:ser>
          <c:idx val="0"/>
          <c:order val="0"/>
          <c:tx>
            <c:strRef>
              <c:f>Escalation!L5</c:f>
              <c:strCache>
                <c:ptCount val="1"/>
                <c:pt idx="0">
                  <c:v>Lancers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Escalation!$L$6:$L$105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1</c:v>
                </c:pt>
                <c:pt idx="14">
                  <c:v>1</c:v>
                </c:pt>
                <c:pt idx="15">
                  <c:v>1</c:v>
                </c:pt>
                <c:pt idx="16">
                  <c:v>1</c:v>
                </c:pt>
                <c:pt idx="17">
                  <c:v>1</c:v>
                </c:pt>
                <c:pt idx="18">
                  <c:v>1</c:v>
                </c:pt>
                <c:pt idx="19">
                  <c:v>1</c:v>
                </c:pt>
                <c:pt idx="20">
                  <c:v>1</c:v>
                </c:pt>
                <c:pt idx="21">
                  <c:v>1</c:v>
                </c:pt>
                <c:pt idx="22">
                  <c:v>2</c:v>
                </c:pt>
                <c:pt idx="23">
                  <c:v>2</c:v>
                </c:pt>
                <c:pt idx="24">
                  <c:v>2</c:v>
                </c:pt>
                <c:pt idx="25">
                  <c:v>2</c:v>
                </c:pt>
                <c:pt idx="26">
                  <c:v>2</c:v>
                </c:pt>
                <c:pt idx="27">
                  <c:v>2</c:v>
                </c:pt>
                <c:pt idx="28">
                  <c:v>2</c:v>
                </c:pt>
                <c:pt idx="29">
                  <c:v>2</c:v>
                </c:pt>
                <c:pt idx="30">
                  <c:v>2</c:v>
                </c:pt>
                <c:pt idx="31">
                  <c:v>3</c:v>
                </c:pt>
                <c:pt idx="32">
                  <c:v>3</c:v>
                </c:pt>
                <c:pt idx="33">
                  <c:v>3</c:v>
                </c:pt>
                <c:pt idx="34">
                  <c:v>3</c:v>
                </c:pt>
                <c:pt idx="35">
                  <c:v>3</c:v>
                </c:pt>
                <c:pt idx="36">
                  <c:v>3</c:v>
                </c:pt>
                <c:pt idx="37">
                  <c:v>3</c:v>
                </c:pt>
                <c:pt idx="38">
                  <c:v>3</c:v>
                </c:pt>
                <c:pt idx="39">
                  <c:v>3</c:v>
                </c:pt>
                <c:pt idx="40">
                  <c:v>4</c:v>
                </c:pt>
                <c:pt idx="41">
                  <c:v>4</c:v>
                </c:pt>
                <c:pt idx="42">
                  <c:v>4</c:v>
                </c:pt>
                <c:pt idx="43">
                  <c:v>4</c:v>
                </c:pt>
                <c:pt idx="44">
                  <c:v>4</c:v>
                </c:pt>
                <c:pt idx="45">
                  <c:v>4</c:v>
                </c:pt>
                <c:pt idx="46">
                  <c:v>4</c:v>
                </c:pt>
                <c:pt idx="47">
                  <c:v>4</c:v>
                </c:pt>
                <c:pt idx="48">
                  <c:v>4</c:v>
                </c:pt>
                <c:pt idx="49">
                  <c:v>5</c:v>
                </c:pt>
                <c:pt idx="50">
                  <c:v>5</c:v>
                </c:pt>
                <c:pt idx="51">
                  <c:v>5</c:v>
                </c:pt>
                <c:pt idx="52">
                  <c:v>5</c:v>
                </c:pt>
                <c:pt idx="53">
                  <c:v>5</c:v>
                </c:pt>
                <c:pt idx="54">
                  <c:v>5</c:v>
                </c:pt>
                <c:pt idx="55">
                  <c:v>5</c:v>
                </c:pt>
                <c:pt idx="56">
                  <c:v>5</c:v>
                </c:pt>
                <c:pt idx="57">
                  <c:v>5</c:v>
                </c:pt>
                <c:pt idx="58">
                  <c:v>6</c:v>
                </c:pt>
                <c:pt idx="59">
                  <c:v>6</c:v>
                </c:pt>
                <c:pt idx="60">
                  <c:v>6</c:v>
                </c:pt>
                <c:pt idx="61">
                  <c:v>6</c:v>
                </c:pt>
                <c:pt idx="62">
                  <c:v>6</c:v>
                </c:pt>
                <c:pt idx="63">
                  <c:v>6</c:v>
                </c:pt>
                <c:pt idx="64">
                  <c:v>6</c:v>
                </c:pt>
                <c:pt idx="65">
                  <c:v>6</c:v>
                </c:pt>
                <c:pt idx="66">
                  <c:v>6</c:v>
                </c:pt>
                <c:pt idx="67">
                  <c:v>7</c:v>
                </c:pt>
                <c:pt idx="68">
                  <c:v>7</c:v>
                </c:pt>
                <c:pt idx="69">
                  <c:v>7</c:v>
                </c:pt>
                <c:pt idx="70">
                  <c:v>7</c:v>
                </c:pt>
                <c:pt idx="71">
                  <c:v>7</c:v>
                </c:pt>
                <c:pt idx="72">
                  <c:v>7</c:v>
                </c:pt>
                <c:pt idx="73">
                  <c:v>7</c:v>
                </c:pt>
                <c:pt idx="74">
                  <c:v>7</c:v>
                </c:pt>
                <c:pt idx="75">
                  <c:v>7</c:v>
                </c:pt>
                <c:pt idx="76">
                  <c:v>8</c:v>
                </c:pt>
                <c:pt idx="77">
                  <c:v>8</c:v>
                </c:pt>
                <c:pt idx="78">
                  <c:v>8</c:v>
                </c:pt>
                <c:pt idx="79">
                  <c:v>8</c:v>
                </c:pt>
                <c:pt idx="80">
                  <c:v>8</c:v>
                </c:pt>
                <c:pt idx="81">
                  <c:v>8</c:v>
                </c:pt>
                <c:pt idx="82">
                  <c:v>8</c:v>
                </c:pt>
                <c:pt idx="83">
                  <c:v>8</c:v>
                </c:pt>
                <c:pt idx="84">
                  <c:v>8</c:v>
                </c:pt>
                <c:pt idx="85">
                  <c:v>8</c:v>
                </c:pt>
                <c:pt idx="86">
                  <c:v>8</c:v>
                </c:pt>
                <c:pt idx="87">
                  <c:v>8</c:v>
                </c:pt>
                <c:pt idx="88">
                  <c:v>8</c:v>
                </c:pt>
                <c:pt idx="89">
                  <c:v>8</c:v>
                </c:pt>
                <c:pt idx="90">
                  <c:v>8</c:v>
                </c:pt>
                <c:pt idx="91">
                  <c:v>8</c:v>
                </c:pt>
                <c:pt idx="92">
                  <c:v>8</c:v>
                </c:pt>
                <c:pt idx="93">
                  <c:v>8</c:v>
                </c:pt>
                <c:pt idx="94">
                  <c:v>8</c:v>
                </c:pt>
                <c:pt idx="95">
                  <c:v>8</c:v>
                </c:pt>
                <c:pt idx="96">
                  <c:v>8</c:v>
                </c:pt>
                <c:pt idx="97">
                  <c:v>8</c:v>
                </c:pt>
                <c:pt idx="98">
                  <c:v>8</c:v>
                </c:pt>
                <c:pt idx="99">
                  <c:v>8</c:v>
                </c:pt>
              </c:numCache>
            </c:numRef>
          </c:val>
          <c:smooth val="1"/>
        </c:ser>
        <c:ser>
          <c:idx val="1"/>
          <c:order val="1"/>
          <c:tx>
            <c:strRef>
              <c:f>Escalation!M5</c:f>
              <c:strCache>
                <c:ptCount val="1"/>
                <c:pt idx="0">
                  <c:v>Heralds</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Escalation!$M$6:$M$105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numCache>
            </c:numRef>
          </c:val>
          <c:smooth val="1"/>
        </c:ser>
        <c:ser>
          <c:idx val="2"/>
          <c:order val="2"/>
          <c:tx>
            <c:strRef>
              <c:f>Escalation!N5</c:f>
              <c:strCache>
                <c:ptCount val="1"/>
                <c:pt idx="0">
                  <c:v>Reapers</c:v>
                </c:pt>
              </c:strCache>
            </c:strRef>
          </c:tx>
          <c:spPr>
            <a:solidFill>
              <a:srgbClr val="98b855"/>
            </a:solidFill>
            <a:ln w="28440">
              <a:solidFill>
                <a:srgbClr val="98b855"/>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Escalation!$N$6:$N$105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c:v>
                </c:pt>
                <c:pt idx="20">
                  <c:v>1</c:v>
                </c:pt>
                <c:pt idx="21">
                  <c:v>1</c:v>
                </c:pt>
                <c:pt idx="22">
                  <c:v>1</c:v>
                </c:pt>
                <c:pt idx="23">
                  <c:v>1</c:v>
                </c:pt>
                <c:pt idx="24">
                  <c:v>1</c:v>
                </c:pt>
                <c:pt idx="25">
                  <c:v>1</c:v>
                </c:pt>
                <c:pt idx="26">
                  <c:v>1</c:v>
                </c:pt>
                <c:pt idx="27">
                  <c:v>1</c:v>
                </c:pt>
                <c:pt idx="28">
                  <c:v>1</c:v>
                </c:pt>
                <c:pt idx="29">
                  <c:v>1</c:v>
                </c:pt>
                <c:pt idx="30">
                  <c:v>1</c:v>
                </c:pt>
                <c:pt idx="31">
                  <c:v>2</c:v>
                </c:pt>
                <c:pt idx="32">
                  <c:v>2</c:v>
                </c:pt>
                <c:pt idx="33">
                  <c:v>2</c:v>
                </c:pt>
                <c:pt idx="34">
                  <c:v>2</c:v>
                </c:pt>
                <c:pt idx="35">
                  <c:v>2</c:v>
                </c:pt>
                <c:pt idx="36">
                  <c:v>2</c:v>
                </c:pt>
                <c:pt idx="37">
                  <c:v>2</c:v>
                </c:pt>
                <c:pt idx="38">
                  <c:v>2</c:v>
                </c:pt>
                <c:pt idx="39">
                  <c:v>2</c:v>
                </c:pt>
                <c:pt idx="40">
                  <c:v>2</c:v>
                </c:pt>
                <c:pt idx="41">
                  <c:v>2</c:v>
                </c:pt>
                <c:pt idx="42">
                  <c:v>2</c:v>
                </c:pt>
                <c:pt idx="43">
                  <c:v>3</c:v>
                </c:pt>
                <c:pt idx="44">
                  <c:v>3</c:v>
                </c:pt>
                <c:pt idx="45">
                  <c:v>3</c:v>
                </c:pt>
                <c:pt idx="46">
                  <c:v>3</c:v>
                </c:pt>
                <c:pt idx="47">
                  <c:v>3</c:v>
                </c:pt>
                <c:pt idx="48">
                  <c:v>3</c:v>
                </c:pt>
                <c:pt idx="49">
                  <c:v>3</c:v>
                </c:pt>
                <c:pt idx="50">
                  <c:v>3</c:v>
                </c:pt>
                <c:pt idx="51">
                  <c:v>3</c:v>
                </c:pt>
                <c:pt idx="52">
                  <c:v>3</c:v>
                </c:pt>
                <c:pt idx="53">
                  <c:v>3</c:v>
                </c:pt>
                <c:pt idx="54">
                  <c:v>3</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4</c:v>
                </c:pt>
                <c:pt idx="97">
                  <c:v>4</c:v>
                </c:pt>
                <c:pt idx="98">
                  <c:v>4</c:v>
                </c:pt>
                <c:pt idx="99">
                  <c:v>4</c:v>
                </c:pt>
              </c:numCache>
            </c:numRef>
          </c:val>
          <c:smooth val="1"/>
        </c:ser>
        <c:ser>
          <c:idx val="3"/>
          <c:order val="3"/>
          <c:tx>
            <c:strRef>
              <c:f>Escalation!O5</c:f>
              <c:strCache>
                <c:ptCount val="1"/>
                <c:pt idx="0">
                  <c:v>Scramblers</c:v>
                </c:pt>
              </c:strCache>
            </c:strRef>
          </c:tx>
          <c:spPr>
            <a:solidFill>
              <a:srgbClr val="7d5fa0"/>
            </a:solidFill>
            <a:ln w="28440">
              <a:solidFill>
                <a:srgbClr val="7d5fa0"/>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Escalation!$O$6:$O$105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numCache>
            </c:numRef>
          </c:val>
          <c:smooth val="1"/>
        </c:ser>
        <c:ser>
          <c:idx val="4"/>
          <c:order val="4"/>
          <c:tx>
            <c:strRef>
              <c:f>Escalation!P5</c:f>
              <c:strCache>
                <c:ptCount val="1"/>
                <c:pt idx="0">
                  <c:v>Sowers</c:v>
                </c:pt>
              </c:strCache>
            </c:strRef>
          </c:tx>
          <c:spPr>
            <a:solidFill>
              <a:srgbClr val="46aac4"/>
            </a:solidFill>
            <a:ln w="28440">
              <a:solidFill>
                <a:srgbClr val="46aac4"/>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Escalation!$P$6:$P$105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numCache>
            </c:numRef>
          </c:val>
          <c:smooth val="1"/>
        </c:ser>
        <c:hiLowLines>
          <c:spPr>
            <a:ln w="0">
              <a:noFill/>
            </a:ln>
          </c:spPr>
        </c:hiLowLines>
        <c:marker val="0"/>
        <c:axId val="68423669"/>
        <c:axId val="68161995"/>
      </c:lineChart>
      <c:catAx>
        <c:axId val="6842366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Wave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161995"/>
        <c:crosses val="autoZero"/>
        <c:auto val="1"/>
        <c:lblAlgn val="ctr"/>
        <c:lblOffset val="100"/>
        <c:noMultiLvlLbl val="0"/>
      </c:catAx>
      <c:valAx>
        <c:axId val="6816199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Hulls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42366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Counter-traits and missile dodging</a:t>
            </a:r>
          </a:p>
        </c:rich>
      </c:tx>
      <c:overlay val="0"/>
      <c:spPr>
        <a:noFill/>
        <a:ln w="0">
          <a:noFill/>
        </a:ln>
      </c:spPr>
    </c:title>
    <c:autoTitleDeleted val="0"/>
    <c:plotArea>
      <c:lineChart>
        <c:grouping val="standard"/>
        <c:varyColors val="0"/>
        <c:ser>
          <c:idx val="0"/>
          <c:order val="0"/>
          <c:tx>
            <c:strRef>
              <c:f>Escalation!I5</c:f>
              <c:strCache>
                <c:ptCount val="1"/>
                <c:pt idx="0">
                  <c:v>Share with counter-traits</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Escalation!$I$6:$I$105</c:f>
              <c:numCache>
                <c:formatCode>0%</c:formatCode>
                <c:ptCount val="100"/>
                <c:pt idx="0">
                  <c:v>0</c:v>
                </c:pt>
                <c:pt idx="1">
                  <c:v>0</c:v>
                </c:pt>
                <c:pt idx="2">
                  <c:v>0</c:v>
                </c:pt>
                <c:pt idx="3">
                  <c:v>0</c:v>
                </c:pt>
                <c:pt idx="4">
                  <c:v>0</c:v>
                </c:pt>
                <c:pt idx="5">
                  <c:v>0.14</c:v>
                </c:pt>
                <c:pt idx="6">
                  <c:v>0.164440330052444</c:v>
                </c:pt>
                <c:pt idx="7">
                  <c:v>0.187794606044756</c:v>
                </c:pt>
                <c:pt idx="8">
                  <c:v>0.210111088921817</c:v>
                </c:pt>
                <c:pt idx="9">
                  <c:v>0.231435895058651</c:v>
                </c:pt>
                <c:pt idx="10">
                  <c:v>0.251813091558596</c:v>
                </c:pt>
                <c:pt idx="11">
                  <c:v>0.271284787316719</c:v>
                </c:pt>
                <c:pt idx="12">
                  <c:v>0.289891220036644</c:v>
                </c:pt>
                <c:pt idx="13">
                  <c:v>0.307670839380617</c:v>
                </c:pt>
                <c:pt idx="14">
                  <c:v>0.324660386424638</c:v>
                </c:pt>
                <c:pt idx="15">
                  <c:v>0.340894969582845</c:v>
                </c:pt>
                <c:pt idx="16">
                  <c:v>0.356408137158052</c:v>
                </c:pt>
                <c:pt idx="17">
                  <c:v>0.371231946668355</c:v>
                </c:pt>
                <c:pt idx="18">
                  <c:v>0.385397031093083</c:v>
                </c:pt>
                <c:pt idx="19">
                  <c:v>0.398932662174972</c:v>
                </c:pt>
                <c:pt idx="20">
                  <c:v>0.41186681090939</c:v>
                </c:pt>
                <c:pt idx="21">
                  <c:v>0.424226205345596</c:v>
                </c:pt>
                <c:pt idx="22">
                  <c:v>0.436036385819494</c:v>
                </c:pt>
                <c:pt idx="23">
                  <c:v>0.447321757732009</c:v>
                </c:pt>
                <c:pt idx="24">
                  <c:v>0.458105641982148</c:v>
                </c:pt>
                <c:pt idx="25">
                  <c:v>0.468410323158977</c:v>
                </c:pt>
                <c:pt idx="26">
                  <c:v>0.478257095592084</c:v>
                </c:pt>
                <c:pt idx="27">
                  <c:v>0.487666307355707</c:v>
                </c:pt>
                <c:pt idx="28">
                  <c:v>0.496657402317445</c:v>
                </c:pt>
                <c:pt idx="29">
                  <c:v>0.505248960318461</c:v>
                </c:pt>
                <c:pt idx="30">
                  <c:v>0.513458735568186</c:v>
                </c:pt>
                <c:pt idx="31">
                  <c:v>0.521303693332894</c:v>
                </c:pt>
                <c:pt idx="32">
                  <c:v>0.528800044993934</c:v>
                </c:pt>
                <c:pt idx="33">
                  <c:v>0.535963281548093</c:v>
                </c:pt>
                <c:pt idx="34">
                  <c:v>0.542808205619293</c:v>
                </c:pt>
                <c:pt idx="35">
                  <c:v>0.549348962047795</c:v>
                </c:pt>
                <c:pt idx="36">
                  <c:v>0.555599067120105</c:v>
                </c:pt>
                <c:pt idx="37">
                  <c:v>0.561571436499998</c:v>
                </c:pt>
                <c:pt idx="38">
                  <c:v>0.567278411918364</c:v>
                </c:pt>
                <c:pt idx="39">
                  <c:v>0.572731786677046</c:v>
                </c:pt>
                <c:pt idx="40">
                  <c:v>0.577942830019361</c:v>
                </c:pt>
                <c:pt idx="41">
                  <c:v>0.58292231041767</c:v>
                </c:pt>
                <c:pt idx="42">
                  <c:v>0.587680517826115</c:v>
                </c:pt>
                <c:pt idx="43">
                  <c:v>0.592227284944524</c:v>
                </c:pt>
                <c:pt idx="44">
                  <c:v>0.596572007537396</c:v>
                </c:pt>
                <c:pt idx="45">
                  <c:v>0.600723663849984</c:v>
                </c:pt>
                <c:pt idx="46">
                  <c:v>0.604690833161582</c:v>
                </c:pt>
                <c:pt idx="47">
                  <c:v>0.608481713514364</c:v>
                </c:pt>
                <c:pt idx="48">
                  <c:v>0.612104138654398</c:v>
                </c:pt>
                <c:pt idx="49">
                  <c:v>0.615565594219863</c:v>
                </c:pt>
                <c:pt idx="50">
                  <c:v>0.618873233209907</c:v>
                </c:pt>
                <c:pt idx="51">
                  <c:v>0.622033890766112</c:v>
                </c:pt>
                <c:pt idx="52">
                  <c:v>0.625054098297124</c:v>
                </c:pt>
                <c:pt idx="53">
                  <c:v>0.627940096975619</c:v>
                </c:pt>
                <c:pt idx="54">
                  <c:v>0.630697850635507</c:v>
                </c:pt>
                <c:pt idx="55">
                  <c:v>0.63333305809603</c:v>
                </c:pt>
                <c:pt idx="56">
                  <c:v>0.635851164938204</c:v>
                </c:pt>
                <c:pt idx="57">
                  <c:v>0.638257374757959</c:v>
                </c:pt>
                <c:pt idx="58">
                  <c:v>0.640556659919224</c:v>
                </c:pt>
                <c:pt idx="59">
                  <c:v>0.642753771829168</c:v>
                </c:pt>
                <c:pt idx="60">
                  <c:v>0.644853250756856</c:v>
                </c:pt>
                <c:pt idx="61">
                  <c:v>0.646859435215578</c:v>
                </c:pt>
                <c:pt idx="62">
                  <c:v>0.648776470928269</c:v>
                </c:pt>
                <c:pt idx="63">
                  <c:v>0.650608319394523</c:v>
                </c:pt>
                <c:pt idx="64">
                  <c:v>0.65235876607692</c:v>
                </c:pt>
                <c:pt idx="65">
                  <c:v>0.654031428223577</c:v>
                </c:pt>
                <c:pt idx="66">
                  <c:v>0.655629762343088</c:v>
                </c:pt>
                <c:pt idx="67">
                  <c:v>0.657157071347298</c:v>
                </c:pt>
                <c:pt idx="68">
                  <c:v>0.658616511376682</c:v>
                </c:pt>
                <c:pt idx="69">
                  <c:v>0.660011098322411</c:v>
                </c:pt>
                <c:pt idx="70">
                  <c:v>0.661343714058612</c:v>
                </c:pt>
                <c:pt idx="71">
                  <c:v>0.662617112397675</c:v>
                </c:pt>
                <c:pt idx="72">
                  <c:v>0.663833924780929</c:v>
                </c:pt>
                <c:pt idx="73">
                  <c:v>0.66499666571644</c:v>
                </c:pt>
                <c:pt idx="74">
                  <c:v>0.666107737975171</c:v>
                </c:pt>
                <c:pt idx="75">
                  <c:v>0.667169437556237</c:v>
                </c:pt>
                <c:pt idx="76">
                  <c:v>0.668183958431525</c:v>
                </c:pt>
                <c:pt idx="77">
                  <c:v>0.669153397079473</c:v>
                </c:pt>
                <c:pt idx="78">
                  <c:v>0.670079756817382</c:v>
                </c:pt>
                <c:pt idx="79">
                  <c:v>0.670964951941215</c:v>
                </c:pt>
                <c:pt idx="80">
                  <c:v>0.671810811681435</c:v>
                </c:pt>
                <c:pt idx="81">
                  <c:v>0.672619083983056</c:v>
                </c:pt>
                <c:pt idx="82">
                  <c:v>0.673391439117725</c:v>
                </c:pt>
                <c:pt idx="83">
                  <c:v>0.674129473135287</c:v>
                </c:pt>
                <c:pt idx="84">
                  <c:v>0.674834711161977</c:v>
                </c:pt>
                <c:pt idx="85">
                  <c:v>0.675508610552053</c:v>
                </c:pt>
                <c:pt idx="86">
                  <c:v>0.676152563899374</c:v>
                </c:pt>
                <c:pt idx="87">
                  <c:v>0.676767901915155</c:v>
                </c:pt>
                <c:pt idx="88">
                  <c:v>0.677355896177845</c:v>
                </c:pt>
                <c:pt idx="89">
                  <c:v>0.677917761760811</c:v>
                </c:pt>
                <c:pt idx="90">
                  <c:v>0.678454659743243</c:v>
                </c:pt>
                <c:pt idx="91">
                  <c:v>0.678967699609503</c:v>
                </c:pt>
                <c:pt idx="92">
                  <c:v>0.679457941541833</c:v>
                </c:pt>
                <c:pt idx="93">
                  <c:v>0.679926398611196</c:v>
                </c:pt>
                <c:pt idx="94">
                  <c:v>0.680374038870758</c:v>
                </c:pt>
                <c:pt idx="95">
                  <c:v>0.680801787356341</c:v>
                </c:pt>
                <c:pt idx="96">
                  <c:v>0.681210527997984</c:v>
                </c:pt>
                <c:pt idx="97">
                  <c:v>0.681601105446559</c:v>
                </c:pt>
                <c:pt idx="98">
                  <c:v>0.681974326819216</c:v>
                </c:pt>
                <c:pt idx="99">
                  <c:v>0.682330963367274</c:v>
                </c:pt>
              </c:numCache>
            </c:numRef>
          </c:val>
          <c:smooth val="1"/>
        </c:ser>
        <c:ser>
          <c:idx val="1"/>
          <c:order val="1"/>
          <c:tx>
            <c:strRef>
              <c:f>Escalation!J5</c:f>
              <c:strCache>
                <c:ptCount val="1"/>
                <c:pt idx="0">
                  <c:v>Missile dodge chance</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Escalation!$A$6:$A$105</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Escalation!$J$6:$J$105</c:f>
              <c:numCache>
                <c:formatCode>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0.0114743648312979</c:v>
                </c:pt>
                <c:pt idx="18">
                  <c:v>0.0225725552389338</c:v>
                </c:pt>
                <c:pt idx="19">
                  <c:v>0.0333069036874142</c:v>
                </c:pt>
                <c:pt idx="20">
                  <c:v>0.0436893383349684</c:v>
                </c:pt>
                <c:pt idx="21">
                  <c:v>0.0537313962882851</c:v>
                </c:pt>
                <c:pt idx="22">
                  <c:v>0.0634442364227064</c:v>
                </c:pt>
                <c:pt idx="23">
                  <c:v>0.0728386517821264</c:v>
                </c:pt>
                <c:pt idx="24">
                  <c:v>0.081925081572373</c:v>
                </c:pt>
                <c:pt idx="25">
                  <c:v>0.0907136227613987</c:v>
                </c:pt>
                <c:pt idx="26">
                  <c:v>0.0992140412991737</c:v>
                </c:pt>
                <c:pt idx="27">
                  <c:v>0.107435782969745</c:v>
                </c:pt>
                <c:pt idx="28">
                  <c:v>0.115387983887526</c:v>
                </c:pt>
                <c:pt idx="29">
                  <c:v>0.123079480649472</c:v>
                </c:pt>
                <c:pt idx="30">
                  <c:v>0.13051882015443</c:v>
                </c:pt>
                <c:pt idx="31">
                  <c:v>0.137714269100578</c:v>
                </c:pt>
                <c:pt idx="32">
                  <c:v>0.144673823171489</c:v>
                </c:pt>
                <c:pt idx="33">
                  <c:v>0.151405215921049</c:v>
                </c:pt>
                <c:pt idx="34">
                  <c:v>0.157915927367091</c:v>
                </c:pt>
                <c:pt idx="35">
                  <c:v>0.164213192303295</c:v>
                </c:pt>
                <c:pt idx="36">
                  <c:v>0.170304008338593</c:v>
                </c:pt>
                <c:pt idx="37">
                  <c:v>0.176195143673007</c:v>
                </c:pt>
                <c:pt idx="38">
                  <c:v>0.18189314461857</c:v>
                </c:pt>
                <c:pt idx="39">
                  <c:v>0.187404342873681</c:v>
                </c:pt>
                <c:pt idx="40">
                  <c:v>0.192734862558972</c:v>
                </c:pt>
                <c:pt idx="41">
                  <c:v>0.197890627022523</c:v>
                </c:pt>
                <c:pt idx="42">
                  <c:v>0.202877365421961</c:v>
                </c:pt>
                <c:pt idx="43">
                  <c:v>0.20770061909079</c:v>
                </c:pt>
                <c:pt idx="44">
                  <c:v>0.212365747695991</c:v>
                </c:pt>
                <c:pt idx="45">
                  <c:v>0.21687793519376</c:v>
                </c:pt>
                <c:pt idx="46">
                  <c:v>0.221242195589995</c:v>
                </c:pt>
                <c:pt idx="47">
                  <c:v>0.22546337851193</c:v>
                </c:pt>
                <c:pt idx="48">
                  <c:v>0.229546174597106</c:v>
                </c:pt>
                <c:pt idx="49">
                  <c:v>0.233495120705672</c:v>
                </c:pt>
                <c:pt idx="50">
                  <c:v>0.237314604961813</c:v>
                </c:pt>
                <c:pt idx="51">
                  <c:v>0.241008871629891</c:v>
                </c:pt>
                <c:pt idx="52">
                  <c:v>0.244582025830729</c:v>
                </c:pt>
                <c:pt idx="53">
                  <c:v>0.248038038103285</c:v>
                </c:pt>
                <c:pt idx="54">
                  <c:v>0.251380748816765</c:v>
                </c:pt>
                <c:pt idx="55">
                  <c:v>0.254613872438096</c:v>
                </c:pt>
                <c:pt idx="56">
                  <c:v>0.257741001659496</c:v>
                </c:pt>
                <c:pt idx="57">
                  <c:v>0.260765611390722</c:v>
                </c:pt>
                <c:pt idx="58">
                  <c:v>0.263691062620438</c:v>
                </c:pt>
                <c:pt idx="59">
                  <c:v>0.266520606150994</c:v>
                </c:pt>
                <c:pt idx="60">
                  <c:v>0.269257386210763</c:v>
                </c:pt>
                <c:pt idx="61">
                  <c:v>0.27190444394805</c:v>
                </c:pt>
                <c:pt idx="62">
                  <c:v>0.274464720810459</c:v>
                </c:pt>
                <c:pt idx="63">
                  <c:v>0.276941061813472</c:v>
                </c:pt>
                <c:pt idx="64">
                  <c:v>0.279336218701871</c:v>
                </c:pt>
                <c:pt idx="65">
                  <c:v>0.28165285300751</c:v>
                </c:pt>
                <c:pt idx="66">
                  <c:v>0.283893539006853</c:v>
                </c:pt>
                <c:pt idx="67">
                  <c:v>0.286060766581543</c:v>
                </c:pt>
                <c:pt idx="68">
                  <c:v>0.288156943985191</c:v>
                </c:pt>
                <c:pt idx="69">
                  <c:v>0.290184400519466</c:v>
                </c:pt>
                <c:pt idx="70">
                  <c:v>0.292145389122445</c:v>
                </c:pt>
                <c:pt idx="71">
                  <c:v>0.294042088872107</c:v>
                </c:pt>
                <c:pt idx="72">
                  <c:v>0.295876607407761</c:v>
                </c:pt>
                <c:pt idx="73">
                  <c:v>0.297650983272078</c:v>
                </c:pt>
                <c:pt idx="74">
                  <c:v>0.299367188176352</c:v>
                </c:pt>
                <c:pt idx="75">
                  <c:v>0.301027129191492</c:v>
                </c:pt>
                <c:pt idx="76">
                  <c:v>0.302632650867186</c:v>
                </c:pt>
                <c:pt idx="77">
                  <c:v>0.30418553728159</c:v>
                </c:pt>
                <c:pt idx="78">
                  <c:v>0.305687514023821</c:v>
                </c:pt>
                <c:pt idx="79">
                  <c:v>0.307140250111456</c:v>
                </c:pt>
                <c:pt idx="80">
                  <c:v>0.308545359845169</c:v>
                </c:pt>
                <c:pt idx="81">
                  <c:v>0.309904404602559</c:v>
                </c:pt>
                <c:pt idx="82">
                  <c:v>0.311218894573183</c:v>
                </c:pt>
                <c:pt idx="83">
                  <c:v>0.312490290436693</c:v>
                </c:pt>
                <c:pt idx="84">
                  <c:v>0.313720004985965</c:v>
                </c:pt>
                <c:pt idx="85">
                  <c:v>0.314909404697019</c:v>
                </c:pt>
                <c:pt idx="86">
                  <c:v>0.316059811247458</c:v>
                </c:pt>
                <c:pt idx="87">
                  <c:v>0.317172502985143</c:v>
                </c:pt>
                <c:pt idx="88">
                  <c:v>0.318248716348706</c:v>
                </c:pt>
                <c:pt idx="89">
                  <c:v>0.319289647241497</c:v>
                </c:pt>
                <c:pt idx="90">
                  <c:v>0.320296452360494</c:v>
                </c:pt>
                <c:pt idx="91">
                  <c:v>0.321270250481635</c:v>
                </c:pt>
                <c:pt idx="92">
                  <c:v>0.322212123703023</c:v>
                </c:pt>
                <c:pt idx="93">
                  <c:v>0.323123118647361</c:v>
                </c:pt>
                <c:pt idx="94">
                  <c:v>0.324004247624983</c:v>
                </c:pt>
                <c:pt idx="95">
                  <c:v>0.32485648975874</c:v>
                </c:pt>
                <c:pt idx="96">
                  <c:v>0.325680792072019</c:v>
                </c:pt>
                <c:pt idx="97">
                  <c:v>0.326478070541088</c:v>
                </c:pt>
                <c:pt idx="98">
                  <c:v>0.327249211112938</c:v>
                </c:pt>
                <c:pt idx="99">
                  <c:v>0.327995070689766</c:v>
                </c:pt>
              </c:numCache>
            </c:numRef>
          </c:val>
          <c:smooth val="1"/>
        </c:ser>
        <c:hiLowLines>
          <c:spPr>
            <a:ln w="0">
              <a:noFill/>
            </a:ln>
          </c:spPr>
        </c:hiLowLines>
        <c:marker val="0"/>
        <c:axId val="35100956"/>
        <c:axId val="18731341"/>
      </c:lineChart>
      <c:catAx>
        <c:axId val="3510095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Wave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731341"/>
        <c:crosses val="autoZero"/>
        <c:auto val="1"/>
        <c:lblAlgn val="ctr"/>
        <c:lblOffset val="100"/>
        <c:noMultiLvlLbl val="0"/>
      </c:catAx>
      <c:valAx>
        <c:axId val="1873134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Share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10095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Base hull points</a:t>
            </a:r>
          </a:p>
        </c:rich>
      </c:tx>
      <c:overlay val="0"/>
      <c:spPr>
        <a:noFill/>
        <a:ln w="0">
          <a:noFill/>
        </a:ln>
      </c:spPr>
    </c:title>
    <c:autoTitleDeleted val="0"/>
    <c:plotArea>
      <c:barChart>
        <c:barDir val="bar"/>
        <c:grouping val="clustered"/>
        <c:varyColors val="0"/>
        <c:ser>
          <c:idx val="0"/>
          <c:order val="0"/>
          <c:tx>
            <c:strRef>
              <c:f>'Enemy Roster'!B5</c:f>
              <c:strCache>
                <c:ptCount val="1"/>
                <c:pt idx="0">
                  <c:v>Base HP</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Roster'!$A$6:$A$23</c:f>
              <c:strCache>
                <c:ptCount val="18"/>
                <c:pt idx="0">
                  <c:v>DRONE</c:v>
                </c:pt>
                <c:pt idx="1">
                  <c:v>DART</c:v>
                </c:pt>
                <c:pt idx="2">
                  <c:v>SPLITTER</c:v>
                </c:pt>
                <c:pt idx="3">
                  <c:v>BULWARK</c:v>
                </c:pt>
                <c:pt idx="4">
                  <c:v>WARDEN</c:v>
                </c:pt>
                <c:pt idx="5">
                  <c:v>BASTION (boss)</c:v>
                </c:pt>
                <c:pt idx="6">
                  <c:v>SHRIKE</c:v>
                </c:pt>
                <c:pt idx="7">
                  <c:v>MAULER</c:v>
                </c:pt>
                <c:pt idx="8">
                  <c:v>HALO</c:v>
                </c:pt>
                <c:pt idx="9">
                  <c:v>CARRIER</c:v>
                </c:pt>
                <c:pt idx="10">
                  <c:v>MOTHERSHIP (boss)</c:v>
                </c:pt>
                <c:pt idx="11">
                  <c:v>LEECH</c:v>
                </c:pt>
                <c:pt idx="12">
                  <c:v>HAMMER</c:v>
                </c:pt>
                <c:pt idx="13">
                  <c:v>LANCER</c:v>
                </c:pt>
                <c:pt idx="14">
                  <c:v>HERALD</c:v>
                </c:pt>
                <c:pt idx="15">
                  <c:v>REAPER</c:v>
                </c:pt>
                <c:pt idx="16">
                  <c:v>SCRAMBLER</c:v>
                </c:pt>
                <c:pt idx="17">
                  <c:v>SOWER</c:v>
                </c:pt>
              </c:strCache>
            </c:strRef>
          </c:cat>
          <c:val>
            <c:numRef>
              <c:f>'Enemy Roster'!$B$6:$B$23</c:f>
              <c:numCache>
                <c:formatCode>0</c:formatCode>
                <c:ptCount val="18"/>
                <c:pt idx="0">
                  <c:v>1</c:v>
                </c:pt>
                <c:pt idx="1">
                  <c:v>1</c:v>
                </c:pt>
                <c:pt idx="2">
                  <c:v>2</c:v>
                </c:pt>
                <c:pt idx="3">
                  <c:v>4</c:v>
                </c:pt>
                <c:pt idx="4">
                  <c:v>3</c:v>
                </c:pt>
                <c:pt idx="5">
                  <c:v>14</c:v>
                </c:pt>
                <c:pt idx="6">
                  <c:v>2</c:v>
                </c:pt>
                <c:pt idx="7">
                  <c:v>3</c:v>
                </c:pt>
                <c:pt idx="8">
                  <c:v>2</c:v>
                </c:pt>
                <c:pt idx="9">
                  <c:v>5</c:v>
                </c:pt>
                <c:pt idx="10">
                  <c:v>40</c:v>
                </c:pt>
                <c:pt idx="11">
                  <c:v>3</c:v>
                </c:pt>
                <c:pt idx="12">
                  <c:v>6</c:v>
                </c:pt>
                <c:pt idx="13">
                  <c:v>6</c:v>
                </c:pt>
                <c:pt idx="14">
                  <c:v>10</c:v>
                </c:pt>
                <c:pt idx="15">
                  <c:v>5</c:v>
                </c:pt>
                <c:pt idx="16">
                  <c:v>8</c:v>
                </c:pt>
                <c:pt idx="17">
                  <c:v>7</c:v>
                </c:pt>
              </c:numCache>
            </c:numRef>
          </c:val>
        </c:ser>
        <c:gapWidth val="150"/>
        <c:overlap val="0"/>
        <c:axId val="64988384"/>
        <c:axId val="64271710"/>
      </c:barChart>
      <c:catAx>
        <c:axId val="64988384"/>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271710"/>
        <c:crosses val="autoZero"/>
        <c:auto val="1"/>
        <c:lblAlgn val="ctr"/>
        <c:lblOffset val="100"/>
        <c:noMultiLvlLbl val="0"/>
      </c:catAx>
      <c:valAx>
        <c:axId val="6427171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98838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Hull points by wave: the tough hulls</a:t>
            </a:r>
          </a:p>
        </c:rich>
      </c:tx>
      <c:overlay val="0"/>
      <c:spPr>
        <a:noFill/>
        <a:ln w="0">
          <a:noFill/>
        </a:ln>
      </c:spPr>
    </c:title>
    <c:autoTitleDeleted val="0"/>
    <c:plotArea>
      <c:lineChart>
        <c:grouping val="standard"/>
        <c:varyColors val="0"/>
        <c:ser>
          <c:idx val="0"/>
          <c:order val="0"/>
          <c:tx>
            <c:strRef>
              <c:f>'Enemy Codex'!A37</c:f>
              <c:strCache>
                <c:ptCount val="1"/>
                <c:pt idx="0">
                  <c:v>Mothership</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Codex'!$B$37:$O$37</c:f>
              <c:numCache>
                <c:formatCode>General</c:formatCode>
                <c:ptCount val="14"/>
                <c:pt idx="2">
                  <c:v>40</c:v>
                </c:pt>
                <c:pt idx="3">
                  <c:v>41</c:v>
                </c:pt>
                <c:pt idx="4">
                  <c:v>42</c:v>
                </c:pt>
                <c:pt idx="5">
                  <c:v>43</c:v>
                </c:pt>
                <c:pt idx="6">
                  <c:v>44</c:v>
                </c:pt>
                <c:pt idx="7">
                  <c:v>46</c:v>
                </c:pt>
                <c:pt idx="8">
                  <c:v>48</c:v>
                </c:pt>
                <c:pt idx="9">
                  <c:v>50</c:v>
                </c:pt>
                <c:pt idx="10">
                  <c:v>52</c:v>
                </c:pt>
                <c:pt idx="11">
                  <c:v>54</c:v>
                </c:pt>
                <c:pt idx="12">
                  <c:v>56</c:v>
                </c:pt>
                <c:pt idx="13">
                  <c:v>58</c:v>
                </c:pt>
              </c:numCache>
            </c:numRef>
          </c:val>
          <c:smooth val="1"/>
        </c:ser>
        <c:ser>
          <c:idx val="1"/>
          <c:order val="1"/>
          <c:tx>
            <c:strRef>
              <c:f>'Enemy Codex'!A35</c:f>
              <c:strCache>
                <c:ptCount val="1"/>
                <c:pt idx="0">
                  <c:v>Bastion</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Codex'!$B$35:$O$35</c:f>
              <c:numCache>
                <c:formatCode>General</c:formatCode>
                <c:ptCount val="14"/>
                <c:pt idx="1">
                  <c:v>14</c:v>
                </c:pt>
                <c:pt idx="2">
                  <c:v>14</c:v>
                </c:pt>
                <c:pt idx="3">
                  <c:v>15</c:v>
                </c:pt>
                <c:pt idx="4">
                  <c:v>16</c:v>
                </c:pt>
                <c:pt idx="5">
                  <c:v>17</c:v>
                </c:pt>
                <c:pt idx="6">
                  <c:v>18</c:v>
                </c:pt>
                <c:pt idx="7">
                  <c:v>20</c:v>
                </c:pt>
                <c:pt idx="8">
                  <c:v>22</c:v>
                </c:pt>
                <c:pt idx="9">
                  <c:v>24</c:v>
                </c:pt>
                <c:pt idx="10">
                  <c:v>26</c:v>
                </c:pt>
                <c:pt idx="11">
                  <c:v>28</c:v>
                </c:pt>
                <c:pt idx="12">
                  <c:v>30</c:v>
                </c:pt>
                <c:pt idx="13">
                  <c:v>32</c:v>
                </c:pt>
              </c:numCache>
            </c:numRef>
          </c:val>
          <c:smooth val="1"/>
        </c:ser>
        <c:ser>
          <c:idx val="2"/>
          <c:order val="2"/>
          <c:tx>
            <c:strRef>
              <c:f>'Enemy Codex'!A40</c:f>
              <c:strCache>
                <c:ptCount val="1"/>
                <c:pt idx="0">
                  <c:v>Herald</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Codex'!$B$40:$O$40</c:f>
              <c:numCache>
                <c:formatCode>General</c:formatCode>
                <c:ptCount val="14"/>
                <c:pt idx="4">
                  <c:v>12</c:v>
                </c:pt>
                <c:pt idx="5">
                  <c:v>13</c:v>
                </c:pt>
                <c:pt idx="6">
                  <c:v>14</c:v>
                </c:pt>
                <c:pt idx="7">
                  <c:v>16</c:v>
                </c:pt>
                <c:pt idx="8">
                  <c:v>18</c:v>
                </c:pt>
                <c:pt idx="9">
                  <c:v>20</c:v>
                </c:pt>
                <c:pt idx="10">
                  <c:v>22</c:v>
                </c:pt>
                <c:pt idx="11">
                  <c:v>24</c:v>
                </c:pt>
                <c:pt idx="12">
                  <c:v>26</c:v>
                </c:pt>
                <c:pt idx="13">
                  <c:v>28</c:v>
                </c:pt>
              </c:numCache>
            </c:numRef>
          </c:val>
          <c:smooth val="1"/>
        </c:ser>
        <c:ser>
          <c:idx val="3"/>
          <c:order val="3"/>
          <c:tx>
            <c:strRef>
              <c:f>'Enemy Codex'!A42</c:f>
              <c:strCache>
                <c:ptCount val="1"/>
                <c:pt idx="0">
                  <c:v>Scrambler</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Codex'!$B$42:$O$42</c:f>
              <c:numCache>
                <c:formatCode>General</c:formatCode>
                <c:ptCount val="14"/>
                <c:pt idx="5">
                  <c:v>11</c:v>
                </c:pt>
                <c:pt idx="6">
                  <c:v>12</c:v>
                </c:pt>
                <c:pt idx="7">
                  <c:v>14</c:v>
                </c:pt>
                <c:pt idx="8">
                  <c:v>16</c:v>
                </c:pt>
                <c:pt idx="9">
                  <c:v>18</c:v>
                </c:pt>
                <c:pt idx="10">
                  <c:v>20</c:v>
                </c:pt>
                <c:pt idx="11">
                  <c:v>22</c:v>
                </c:pt>
                <c:pt idx="12">
                  <c:v>24</c:v>
                </c:pt>
                <c:pt idx="13">
                  <c:v>26</c:v>
                </c:pt>
              </c:numCache>
            </c:numRef>
          </c:val>
          <c:smooth val="1"/>
        </c:ser>
        <c:ser>
          <c:idx val="4"/>
          <c:order val="4"/>
          <c:tx>
            <c:strRef>
              <c:f>'Enemy Codex'!A43</c:f>
              <c:strCache>
                <c:ptCount val="1"/>
                <c:pt idx="0">
                  <c:v>Sower</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Codex'!$B$43:$O$43</c:f>
              <c:numCache>
                <c:formatCode>General</c:formatCode>
                <c:ptCount val="14"/>
                <c:pt idx="6">
                  <c:v>11</c:v>
                </c:pt>
                <c:pt idx="7">
                  <c:v>13</c:v>
                </c:pt>
                <c:pt idx="8">
                  <c:v>15</c:v>
                </c:pt>
                <c:pt idx="9">
                  <c:v>17</c:v>
                </c:pt>
                <c:pt idx="10">
                  <c:v>19</c:v>
                </c:pt>
                <c:pt idx="11">
                  <c:v>21</c:v>
                </c:pt>
                <c:pt idx="12">
                  <c:v>23</c:v>
                </c:pt>
                <c:pt idx="13">
                  <c:v>25</c:v>
                </c:pt>
              </c:numCache>
            </c:numRef>
          </c:val>
          <c:smooth val="1"/>
        </c:ser>
        <c:ser>
          <c:idx val="5"/>
          <c:order val="5"/>
          <c:tx>
            <c:strRef>
              <c:f>'Enemy Codex'!A38</c:f>
              <c:strCache>
                <c:ptCount val="1"/>
                <c:pt idx="0">
                  <c:v>Lancer</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Codex'!$B$38:$O$38</c:f>
              <c:numCache>
                <c:formatCode>General</c:formatCode>
                <c:ptCount val="14"/>
                <c:pt idx="3">
                  <c:v>7</c:v>
                </c:pt>
                <c:pt idx="4">
                  <c:v>8</c:v>
                </c:pt>
                <c:pt idx="5">
                  <c:v>9</c:v>
                </c:pt>
                <c:pt idx="6">
                  <c:v>10</c:v>
                </c:pt>
                <c:pt idx="7">
                  <c:v>12</c:v>
                </c:pt>
                <c:pt idx="8">
                  <c:v>14</c:v>
                </c:pt>
                <c:pt idx="9">
                  <c:v>16</c:v>
                </c:pt>
                <c:pt idx="10">
                  <c:v>18</c:v>
                </c:pt>
                <c:pt idx="11">
                  <c:v>20</c:v>
                </c:pt>
                <c:pt idx="12">
                  <c:v>22</c:v>
                </c:pt>
                <c:pt idx="13">
                  <c:v>24</c:v>
                </c:pt>
              </c:numCache>
            </c:numRef>
          </c:val>
          <c:smooth val="1"/>
        </c:ser>
        <c:ser>
          <c:idx val="6"/>
          <c:order val="6"/>
          <c:tx>
            <c:strRef>
              <c:f>'Enemy Codex'!A36</c:f>
              <c:strCache>
                <c:ptCount val="1"/>
                <c:pt idx="0">
                  <c:v>Hammer</c:v>
                </c:pt>
              </c:strCache>
            </c:strRef>
          </c:tx>
          <c:spPr>
            <a:solidFill>
              <a:srgbClr val="ffffff"/>
            </a:solidFill>
            <a:ln w="0">
              <a:solidFill>
                <a:srgbClr val="ffffff"/>
              </a:solidFill>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'Enemy Codex'!$B$25:$O$25</c:f>
              <c:strCache>
                <c:ptCount val="14"/>
                <c:pt idx="0">
                  <c:v>1</c:v>
                </c:pt>
                <c:pt idx="1">
                  <c:v>5</c:v>
                </c:pt>
                <c:pt idx="2">
                  <c:v>10</c:v>
                </c:pt>
                <c:pt idx="3">
                  <c:v>15</c:v>
                </c:pt>
                <c:pt idx="4">
                  <c:v>20</c:v>
                </c:pt>
                <c:pt idx="5">
                  <c:v>25</c:v>
                </c:pt>
                <c:pt idx="6">
                  <c:v>30</c:v>
                </c:pt>
                <c:pt idx="7">
                  <c:v>40</c:v>
                </c:pt>
                <c:pt idx="8">
                  <c:v>50</c:v>
                </c:pt>
                <c:pt idx="9">
                  <c:v>60</c:v>
                </c:pt>
                <c:pt idx="10">
                  <c:v>70</c:v>
                </c:pt>
                <c:pt idx="11">
                  <c:v>80</c:v>
                </c:pt>
                <c:pt idx="12">
                  <c:v>90</c:v>
                </c:pt>
                <c:pt idx="13">
                  <c:v>100</c:v>
                </c:pt>
              </c:strCache>
            </c:strRef>
          </c:cat>
          <c:val>
            <c:numRef>
              <c:f>'Enemy Codex'!$B$36:$O$36</c:f>
              <c:numCache>
                <c:formatCode>General</c:formatCode>
                <c:ptCount val="14"/>
                <c:pt idx="3">
                  <c:v>7</c:v>
                </c:pt>
                <c:pt idx="4">
                  <c:v>8</c:v>
                </c:pt>
                <c:pt idx="5">
                  <c:v>9</c:v>
                </c:pt>
                <c:pt idx="6">
                  <c:v>10</c:v>
                </c:pt>
                <c:pt idx="7">
                  <c:v>12</c:v>
                </c:pt>
                <c:pt idx="8">
                  <c:v>14</c:v>
                </c:pt>
                <c:pt idx="9">
                  <c:v>16</c:v>
                </c:pt>
                <c:pt idx="10">
                  <c:v>18</c:v>
                </c:pt>
                <c:pt idx="11">
                  <c:v>20</c:v>
                </c:pt>
                <c:pt idx="12">
                  <c:v>22</c:v>
                </c:pt>
                <c:pt idx="13">
                  <c:v>24</c:v>
                </c:pt>
              </c:numCache>
            </c:numRef>
          </c:val>
          <c:smooth val="1"/>
        </c:ser>
        <c:hiLowLines>
          <c:spPr>
            <a:ln w="0">
              <a:noFill/>
            </a:ln>
          </c:spPr>
        </c:hiLowLines>
        <c:marker val="0"/>
        <c:axId val="78398301"/>
        <c:axId val="98755950"/>
      </c:lineChart>
      <c:catAx>
        <c:axId val="78398301"/>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Wave</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98755950"/>
        <c:crosses val="autoZero"/>
        <c:auto val="1"/>
        <c:lblAlgn val="ctr"/>
        <c:lblOffset val="100"/>
        <c:noMultiLvlLbl val="0"/>
      </c:catAx>
      <c:valAx>
        <c:axId val="98755950"/>
        <c:scaling>
          <c:orientation val="minMax"/>
        </c:scaling>
        <c:delete val="0"/>
        <c:axPos val="l"/>
        <c:majorGridlines>
          <c:spPr>
            <a:ln w="0">
              <a:solidFill>
                <a:srgbClr val="b3b3b3"/>
              </a:solidFill>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Hull points</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7839830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_rels/drawing3.xml.rels><?xml version="1.0" encoding="UTF-8"?>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
</Relationships>
</file>

<file path=xl/drawings/_rels/drawing4.xml.rels><?xml version="1.0" encoding="UTF-8"?>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
</Relationships>
</file>

<file path=xl/drawings/_rels/drawing5.xml.rels><?xml version="1.0" encoding="UTF-8"?>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
</Relationships>
</file>

<file path=xl/drawings/_rels/drawing6.xml.rels><?xml version="1.0" encoding="UTF-8"?>
<Relationships xmlns="http://schemas.openxmlformats.org/package/2006/relationships"><Relationship Id="rId1" Type="http://schemas.openxmlformats.org/officeDocument/2006/relationships/chart" Target="../charts/chart11.xml"/><Relationship Id="rId2" Type="http://schemas.openxmlformats.org/officeDocument/2006/relationships/chart" Target="../charts/chart12.xml"/>
</Relationships>
</file>

<file path=xl/drawings/_rels/drawing7.xml.rels><?xml version="1.0" encoding="UTF-8"?>
<Relationships xmlns="http://schemas.openxmlformats.org/package/2006/relationships"><Relationship Id="rId1" Type="http://schemas.openxmlformats.org/officeDocument/2006/relationships/chart" Target="../charts/chart13.xml"/><Relationship Id="rId2" Type="http://schemas.openxmlformats.org/officeDocument/2006/relationships/chart" Target="../charts/chart14.xml"/>
</Relationships>
</file>

<file path=xl/drawings/_rels/drawing8.xml.rels><?xml version="1.0" encoding="UTF-8"?>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
</Relationships>
</file>

<file path=xl/drawings/_rels/drawing9.xml.rels><?xml version="1.0" encoding="UTF-8"?>
<Relationships xmlns="http://schemas.openxmlformats.org/package/2006/relationships"><Relationship Id="rId1" Type="http://schemas.openxmlformats.org/officeDocument/2006/relationships/chart" Target="../charts/chart17.xml"/><Relationship Id="rId2" Type="http://schemas.openxmlformats.org/officeDocument/2006/relationships/chart" Target="../charts/chart18.xml"/>
</Relationships>
</file>

<file path=xl/drawings/_rels/drawing10.xml.rels><?xml version="1.0" encoding="UTF-8"?>
<Relationships xmlns="http://schemas.openxmlformats.org/package/2006/relationships"><Relationship Id="rId1" Type="http://schemas.openxmlformats.org/officeDocument/2006/relationships/chart" Target="../charts/chart19.xml"/><Relationship Id="rId2" Type="http://schemas.openxmlformats.org/officeDocument/2006/relationships/chart" Target="../charts/chart20.xml"/>
</Relationships>
</file>

<file path=xl/drawings/_rels/drawing11.xml.rels><?xml version="1.0" encoding="UTF-8"?>
<Relationships xmlns="http://schemas.openxmlformats.org/package/2006/relationships"><Relationship Id="rId1" Type="http://schemas.openxmlformats.org/officeDocument/2006/relationships/chart" Target="../charts/chart21.xml"/><Relationship Id="rId2" Type="http://schemas.openxmlformats.org/officeDocument/2006/relationships/chart" Target="../charts/chart22.xml"/>
</Relationships>
</file>

<file path=xl/drawings/_rels/drawing12.xml.rels><?xml version="1.0" encoding="UTF-8"?>
<Relationships xmlns="http://schemas.openxmlformats.org/package/2006/relationships"><Relationship Id="rId1" Type="http://schemas.openxmlformats.org/officeDocument/2006/relationships/chart" Target="../charts/chart23.xml"/><Relationship Id="rId2" Type="http://schemas.openxmlformats.org/officeDocument/2006/relationships/chart" Target="../charts/chart24.xml"/>
</Relationships>
</file>

<file path=xl/drawings/_rels/drawing13.xml.rels><?xml version="1.0" encoding="UTF-8"?>
<Relationships xmlns="http://schemas.openxmlformats.org/package/2006/relationships"><Relationship Id="rId1" Type="http://schemas.openxmlformats.org/officeDocument/2006/relationships/chart" Target="../charts/chart25.xml"/>
</Relationships>
</file>

<file path=xl/drawings/_rels/drawing14.xml.rels><?xml version="1.0" encoding="UTF-8"?>
<Relationships xmlns="http://schemas.openxmlformats.org/package/2006/relationships"><Relationship Id="rId1" Type="http://schemas.openxmlformats.org/officeDocument/2006/relationships/chart" Target="../charts/chart26.xml"/><Relationship Id="rId2" Type="http://schemas.openxmlformats.org/officeDocument/2006/relationships/chart" Target="../charts/chart27.xml"/><Relationship Id="rId3" Type="http://schemas.openxmlformats.org/officeDocument/2006/relationships/chart" Target="../charts/chart28.xml"/><Relationship Id="rId4" Type="http://schemas.openxmlformats.org/officeDocument/2006/relationships/chart" Target="../charts/chart29.xml"/>
</Relationships>
</file>

<file path=xl/drawings/_rels/drawing15.xml.rels><?xml version="1.0" encoding="UTF-8"?>
<Relationships xmlns="http://schemas.openxmlformats.org/package/2006/relationships"><Relationship Id="rId1" Type="http://schemas.openxmlformats.org/officeDocument/2006/relationships/chart" Target="../charts/chart30.xml"/>
</Relationships>
</file>

<file path=xl/drawings/_rels/drawing16.xml.rels><?xml version="1.0" encoding="UTF-8"?>
<Relationships xmlns="http://schemas.openxmlformats.org/package/2006/relationships"><Relationship Id="rId1" Type="http://schemas.openxmlformats.org/officeDocument/2006/relationships/chart" Target="../charts/chart3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30</xdr:row>
      <xdr:rowOff>66960</xdr:rowOff>
    </xdr:from>
    <xdr:to>
      <xdr:col>9</xdr:col>
      <xdr:colOff>392400</xdr:colOff>
      <xdr:row>49</xdr:row>
      <xdr:rowOff>46800</xdr:rowOff>
    </xdr:to>
    <xdr:graphicFrame>
      <xdr:nvGraphicFramePr>
        <xdr:cNvPr id="0" name="Chart 1"/>
        <xdr:cNvGraphicFramePr/>
      </xdr:nvGraphicFramePr>
      <xdr:xfrm>
        <a:off x="0" y="6267600"/>
        <a:ext cx="863928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30</xdr:row>
      <xdr:rowOff>66960</xdr:rowOff>
    </xdr:from>
    <xdr:to>
      <xdr:col>18</xdr:col>
      <xdr:colOff>61560</xdr:colOff>
      <xdr:row>49</xdr:row>
      <xdr:rowOff>46800</xdr:rowOff>
    </xdr:to>
    <xdr:graphicFrame>
      <xdr:nvGraphicFramePr>
        <xdr:cNvPr id="1" name="Chart 2"/>
        <xdr:cNvGraphicFramePr/>
      </xdr:nvGraphicFramePr>
      <xdr:xfrm>
        <a:off x="8246880" y="6267600"/>
        <a:ext cx="6479280" cy="35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2</xdr:row>
      <xdr:rowOff>101160</xdr:rowOff>
    </xdr:from>
    <xdr:to>
      <xdr:col>21</xdr:col>
      <xdr:colOff>255600</xdr:colOff>
      <xdr:row>14</xdr:row>
      <xdr:rowOff>171360</xdr:rowOff>
    </xdr:to>
    <xdr:graphicFrame>
      <xdr:nvGraphicFramePr>
        <xdr:cNvPr id="2" name="Chart 1"/>
        <xdr:cNvGraphicFramePr/>
      </xdr:nvGraphicFramePr>
      <xdr:xfrm>
        <a:off x="1597716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18</xdr:row>
      <xdr:rowOff>101160</xdr:rowOff>
    </xdr:from>
    <xdr:to>
      <xdr:col>21</xdr:col>
      <xdr:colOff>255600</xdr:colOff>
      <xdr:row>32</xdr:row>
      <xdr:rowOff>20880</xdr:rowOff>
    </xdr:to>
    <xdr:graphicFrame>
      <xdr:nvGraphicFramePr>
        <xdr:cNvPr id="3" name="Chart 2"/>
        <xdr:cNvGraphicFramePr/>
      </xdr:nvGraphicFramePr>
      <xdr:xfrm>
        <a:off x="15977160" y="3958920"/>
        <a:ext cx="5759280" cy="26913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xdr:row>
      <xdr:rowOff>101160</xdr:rowOff>
    </xdr:from>
    <xdr:to>
      <xdr:col>19</xdr:col>
      <xdr:colOff>255600</xdr:colOff>
      <xdr:row>14</xdr:row>
      <xdr:rowOff>171360</xdr:rowOff>
    </xdr:to>
    <xdr:graphicFrame>
      <xdr:nvGraphicFramePr>
        <xdr:cNvPr id="4" name="Chart 1"/>
        <xdr:cNvGraphicFramePr/>
      </xdr:nvGraphicFramePr>
      <xdr:xfrm>
        <a:off x="1400364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18</xdr:row>
      <xdr:rowOff>101160</xdr:rowOff>
    </xdr:from>
    <xdr:to>
      <xdr:col>19</xdr:col>
      <xdr:colOff>255600</xdr:colOff>
      <xdr:row>32</xdr:row>
      <xdr:rowOff>20880</xdr:rowOff>
    </xdr:to>
    <xdr:graphicFrame>
      <xdr:nvGraphicFramePr>
        <xdr:cNvPr id="5" name="Chart 2"/>
        <xdr:cNvGraphicFramePr/>
      </xdr:nvGraphicFramePr>
      <xdr:xfrm>
        <a:off x="14003640" y="3958920"/>
        <a:ext cx="5759280" cy="26913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xdr:row>
      <xdr:rowOff>101160</xdr:rowOff>
    </xdr:from>
    <xdr:to>
      <xdr:col>16</xdr:col>
      <xdr:colOff>255960</xdr:colOff>
      <xdr:row>14</xdr:row>
      <xdr:rowOff>171360</xdr:rowOff>
    </xdr:to>
    <xdr:graphicFrame>
      <xdr:nvGraphicFramePr>
        <xdr:cNvPr id="6" name="Chart 1"/>
        <xdr:cNvGraphicFramePr/>
      </xdr:nvGraphicFramePr>
      <xdr:xfrm>
        <a:off x="1104336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18</xdr:row>
      <xdr:rowOff>101160</xdr:rowOff>
    </xdr:from>
    <xdr:to>
      <xdr:col>16</xdr:col>
      <xdr:colOff>255960</xdr:colOff>
      <xdr:row>32</xdr:row>
      <xdr:rowOff>133200</xdr:rowOff>
    </xdr:to>
    <xdr:graphicFrame>
      <xdr:nvGraphicFramePr>
        <xdr:cNvPr id="7" name="Chart 2"/>
        <xdr:cNvGraphicFramePr/>
      </xdr:nvGraphicFramePr>
      <xdr:xfrm>
        <a:off x="1104336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2</xdr:row>
      <xdr:rowOff>101160</xdr:rowOff>
    </xdr:from>
    <xdr:to>
      <xdr:col>21</xdr:col>
      <xdr:colOff>255600</xdr:colOff>
      <xdr:row>15</xdr:row>
      <xdr:rowOff>324000</xdr:rowOff>
    </xdr:to>
    <xdr:graphicFrame>
      <xdr:nvGraphicFramePr>
        <xdr:cNvPr id="8" name="Chart 1"/>
        <xdr:cNvGraphicFramePr/>
      </xdr:nvGraphicFramePr>
      <xdr:xfrm>
        <a:off x="15977160" y="567720"/>
        <a:ext cx="575928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18</xdr:row>
      <xdr:rowOff>101160</xdr:rowOff>
    </xdr:from>
    <xdr:to>
      <xdr:col>21</xdr:col>
      <xdr:colOff>255600</xdr:colOff>
      <xdr:row>32</xdr:row>
      <xdr:rowOff>20880</xdr:rowOff>
    </xdr:to>
    <xdr:graphicFrame>
      <xdr:nvGraphicFramePr>
        <xdr:cNvPr id="9" name="Chart 2"/>
        <xdr:cNvGraphicFramePr/>
      </xdr:nvGraphicFramePr>
      <xdr:xfrm>
        <a:off x="15977160" y="3958920"/>
        <a:ext cx="5759280" cy="26913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13</xdr:col>
      <xdr:colOff>0</xdr:colOff>
      <xdr:row>2</xdr:row>
      <xdr:rowOff>101160</xdr:rowOff>
    </xdr:from>
    <xdr:to>
      <xdr:col>22</xdr:col>
      <xdr:colOff>255600</xdr:colOff>
      <xdr:row>14</xdr:row>
      <xdr:rowOff>171360</xdr:rowOff>
    </xdr:to>
    <xdr:graphicFrame>
      <xdr:nvGraphicFramePr>
        <xdr:cNvPr id="10" name="Chart 1"/>
        <xdr:cNvGraphicFramePr/>
      </xdr:nvGraphicFramePr>
      <xdr:xfrm>
        <a:off x="1696392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0</xdr:colOff>
      <xdr:row>18</xdr:row>
      <xdr:rowOff>101160</xdr:rowOff>
    </xdr:from>
    <xdr:to>
      <xdr:col>22</xdr:col>
      <xdr:colOff>255600</xdr:colOff>
      <xdr:row>32</xdr:row>
      <xdr:rowOff>133200</xdr:rowOff>
    </xdr:to>
    <xdr:graphicFrame>
      <xdr:nvGraphicFramePr>
        <xdr:cNvPr id="11" name="Chart 2"/>
        <xdr:cNvGraphicFramePr/>
      </xdr:nvGraphicFramePr>
      <xdr:xfrm>
        <a:off x="1696392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101160</xdr:rowOff>
    </xdr:from>
    <xdr:to>
      <xdr:col>20</xdr:col>
      <xdr:colOff>255600</xdr:colOff>
      <xdr:row>14</xdr:row>
      <xdr:rowOff>171360</xdr:rowOff>
    </xdr:to>
    <xdr:graphicFrame>
      <xdr:nvGraphicFramePr>
        <xdr:cNvPr id="12" name="Chart 1"/>
        <xdr:cNvGraphicFramePr/>
      </xdr:nvGraphicFramePr>
      <xdr:xfrm>
        <a:off x="1499040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18</xdr:row>
      <xdr:rowOff>101160</xdr:rowOff>
    </xdr:from>
    <xdr:to>
      <xdr:col>20</xdr:col>
      <xdr:colOff>255600</xdr:colOff>
      <xdr:row>32</xdr:row>
      <xdr:rowOff>133200</xdr:rowOff>
    </xdr:to>
    <xdr:graphicFrame>
      <xdr:nvGraphicFramePr>
        <xdr:cNvPr id="13" name="Chart 2"/>
        <xdr:cNvGraphicFramePr/>
      </xdr:nvGraphicFramePr>
      <xdr:xfrm>
        <a:off x="1499040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101160</xdr:rowOff>
    </xdr:from>
    <xdr:to>
      <xdr:col>20</xdr:col>
      <xdr:colOff>255600</xdr:colOff>
      <xdr:row>14</xdr:row>
      <xdr:rowOff>514440</xdr:rowOff>
    </xdr:to>
    <xdr:graphicFrame>
      <xdr:nvGraphicFramePr>
        <xdr:cNvPr id="14" name="Chart 1"/>
        <xdr:cNvGraphicFramePr/>
      </xdr:nvGraphicFramePr>
      <xdr:xfrm>
        <a:off x="1499040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18</xdr:row>
      <xdr:rowOff>101160</xdr:rowOff>
    </xdr:from>
    <xdr:to>
      <xdr:col>20</xdr:col>
      <xdr:colOff>255600</xdr:colOff>
      <xdr:row>32</xdr:row>
      <xdr:rowOff>133200</xdr:rowOff>
    </xdr:to>
    <xdr:graphicFrame>
      <xdr:nvGraphicFramePr>
        <xdr:cNvPr id="15" name="Chart 2"/>
        <xdr:cNvGraphicFramePr/>
      </xdr:nvGraphicFramePr>
      <xdr:xfrm>
        <a:off x="1499040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2</xdr:row>
      <xdr:rowOff>101160</xdr:rowOff>
    </xdr:from>
    <xdr:to>
      <xdr:col>18</xdr:col>
      <xdr:colOff>255600</xdr:colOff>
      <xdr:row>14</xdr:row>
      <xdr:rowOff>171360</xdr:rowOff>
    </xdr:to>
    <xdr:graphicFrame>
      <xdr:nvGraphicFramePr>
        <xdr:cNvPr id="16" name="Chart 1"/>
        <xdr:cNvGraphicFramePr/>
      </xdr:nvGraphicFramePr>
      <xdr:xfrm>
        <a:off x="1301688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18</xdr:row>
      <xdr:rowOff>101160</xdr:rowOff>
    </xdr:from>
    <xdr:to>
      <xdr:col>18</xdr:col>
      <xdr:colOff>255600</xdr:colOff>
      <xdr:row>32</xdr:row>
      <xdr:rowOff>133200</xdr:rowOff>
    </xdr:to>
    <xdr:graphicFrame>
      <xdr:nvGraphicFramePr>
        <xdr:cNvPr id="17" name="Chart 2"/>
        <xdr:cNvGraphicFramePr/>
      </xdr:nvGraphicFramePr>
      <xdr:xfrm>
        <a:off x="1301688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xdr:row>
      <xdr:rowOff>101160</xdr:rowOff>
    </xdr:from>
    <xdr:to>
      <xdr:col>19</xdr:col>
      <xdr:colOff>255600</xdr:colOff>
      <xdr:row>14</xdr:row>
      <xdr:rowOff>171360</xdr:rowOff>
    </xdr:to>
    <xdr:graphicFrame>
      <xdr:nvGraphicFramePr>
        <xdr:cNvPr id="18" name="Chart 1"/>
        <xdr:cNvGraphicFramePr/>
      </xdr:nvGraphicFramePr>
      <xdr:xfrm>
        <a:off x="1400364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18</xdr:row>
      <xdr:rowOff>101160</xdr:rowOff>
    </xdr:from>
    <xdr:to>
      <xdr:col>19</xdr:col>
      <xdr:colOff>255600</xdr:colOff>
      <xdr:row>32</xdr:row>
      <xdr:rowOff>133200</xdr:rowOff>
    </xdr:to>
    <xdr:graphicFrame>
      <xdr:nvGraphicFramePr>
        <xdr:cNvPr id="19" name="Chart 2"/>
        <xdr:cNvGraphicFramePr/>
      </xdr:nvGraphicFramePr>
      <xdr:xfrm>
        <a:off x="1400364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2</xdr:row>
      <xdr:rowOff>101160</xdr:rowOff>
    </xdr:from>
    <xdr:to>
      <xdr:col>18</xdr:col>
      <xdr:colOff>255600</xdr:colOff>
      <xdr:row>14</xdr:row>
      <xdr:rowOff>171360</xdr:rowOff>
    </xdr:to>
    <xdr:graphicFrame>
      <xdr:nvGraphicFramePr>
        <xdr:cNvPr id="20" name="Chart 1"/>
        <xdr:cNvGraphicFramePr/>
      </xdr:nvGraphicFramePr>
      <xdr:xfrm>
        <a:off x="1301688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18</xdr:row>
      <xdr:rowOff>101160</xdr:rowOff>
    </xdr:from>
    <xdr:to>
      <xdr:col>18</xdr:col>
      <xdr:colOff>255600</xdr:colOff>
      <xdr:row>32</xdr:row>
      <xdr:rowOff>133200</xdr:rowOff>
    </xdr:to>
    <xdr:graphicFrame>
      <xdr:nvGraphicFramePr>
        <xdr:cNvPr id="21" name="Chart 2"/>
        <xdr:cNvGraphicFramePr/>
      </xdr:nvGraphicFramePr>
      <xdr:xfrm>
        <a:off x="1301688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101160</xdr:rowOff>
    </xdr:from>
    <xdr:to>
      <xdr:col>20</xdr:col>
      <xdr:colOff>255600</xdr:colOff>
      <xdr:row>14</xdr:row>
      <xdr:rowOff>171360</xdr:rowOff>
    </xdr:to>
    <xdr:graphicFrame>
      <xdr:nvGraphicFramePr>
        <xdr:cNvPr id="22" name="Chart 1"/>
        <xdr:cNvGraphicFramePr/>
      </xdr:nvGraphicFramePr>
      <xdr:xfrm>
        <a:off x="14990400" y="567720"/>
        <a:ext cx="575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18</xdr:row>
      <xdr:rowOff>101160</xdr:rowOff>
    </xdr:from>
    <xdr:to>
      <xdr:col>20</xdr:col>
      <xdr:colOff>255600</xdr:colOff>
      <xdr:row>32</xdr:row>
      <xdr:rowOff>133200</xdr:rowOff>
    </xdr:to>
    <xdr:graphicFrame>
      <xdr:nvGraphicFramePr>
        <xdr:cNvPr id="23" name="Chart 2"/>
        <xdr:cNvGraphicFramePr/>
      </xdr:nvGraphicFramePr>
      <xdr:xfrm>
        <a:off x="14990400" y="3958920"/>
        <a:ext cx="575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xdr:row>
      <xdr:rowOff>101160</xdr:rowOff>
    </xdr:from>
    <xdr:to>
      <xdr:col>18</xdr:col>
      <xdr:colOff>278280</xdr:colOff>
      <xdr:row>19</xdr:row>
      <xdr:rowOff>101880</xdr:rowOff>
    </xdr:to>
    <xdr:graphicFrame>
      <xdr:nvGraphicFramePr>
        <xdr:cNvPr id="24" name="Chart 1"/>
        <xdr:cNvGraphicFramePr/>
      </xdr:nvGraphicFramePr>
      <xdr:xfrm>
        <a:off x="8387640" y="567720"/>
        <a:ext cx="7919280" cy="323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22</xdr:col>
      <xdr:colOff>0</xdr:colOff>
      <xdr:row>3</xdr:row>
      <xdr:rowOff>101160</xdr:rowOff>
    </xdr:from>
    <xdr:to>
      <xdr:col>32</xdr:col>
      <xdr:colOff>364320</xdr:colOff>
      <xdr:row>16</xdr:row>
      <xdr:rowOff>141840</xdr:rowOff>
    </xdr:to>
    <xdr:graphicFrame>
      <xdr:nvGraphicFramePr>
        <xdr:cNvPr id="25" name="Chart 1"/>
        <xdr:cNvGraphicFramePr/>
      </xdr:nvGraphicFramePr>
      <xdr:xfrm>
        <a:off x="17857440" y="758520"/>
        <a:ext cx="6479280" cy="287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22</xdr:col>
      <xdr:colOff>0</xdr:colOff>
      <xdr:row>20</xdr:row>
      <xdr:rowOff>101160</xdr:rowOff>
    </xdr:from>
    <xdr:to>
      <xdr:col>32</xdr:col>
      <xdr:colOff>364320</xdr:colOff>
      <xdr:row>35</xdr:row>
      <xdr:rowOff>122760</xdr:rowOff>
    </xdr:to>
    <xdr:graphicFrame>
      <xdr:nvGraphicFramePr>
        <xdr:cNvPr id="26" name="Chart 2"/>
        <xdr:cNvGraphicFramePr/>
      </xdr:nvGraphicFramePr>
      <xdr:xfrm>
        <a:off x="17857440" y="4358880"/>
        <a:ext cx="6479280" cy="287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22</xdr:col>
      <xdr:colOff>0</xdr:colOff>
      <xdr:row>37</xdr:row>
      <xdr:rowOff>101160</xdr:rowOff>
    </xdr:from>
    <xdr:to>
      <xdr:col>32</xdr:col>
      <xdr:colOff>364320</xdr:colOff>
      <xdr:row>52</xdr:row>
      <xdr:rowOff>122760</xdr:rowOff>
    </xdr:to>
    <xdr:graphicFrame>
      <xdr:nvGraphicFramePr>
        <xdr:cNvPr id="27" name="Chart 3"/>
        <xdr:cNvGraphicFramePr/>
      </xdr:nvGraphicFramePr>
      <xdr:xfrm>
        <a:off x="17857440" y="7597440"/>
        <a:ext cx="6479280" cy="287892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22</xdr:col>
      <xdr:colOff>0</xdr:colOff>
      <xdr:row>54</xdr:row>
      <xdr:rowOff>101160</xdr:rowOff>
    </xdr:from>
    <xdr:to>
      <xdr:col>32</xdr:col>
      <xdr:colOff>364320</xdr:colOff>
      <xdr:row>69</xdr:row>
      <xdr:rowOff>122760</xdr:rowOff>
    </xdr:to>
    <xdr:graphicFrame>
      <xdr:nvGraphicFramePr>
        <xdr:cNvPr id="28" name="Chart 4"/>
        <xdr:cNvGraphicFramePr/>
      </xdr:nvGraphicFramePr>
      <xdr:xfrm>
        <a:off x="17857440" y="10836000"/>
        <a:ext cx="6479280" cy="287892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15</xdr:col>
      <xdr:colOff>0</xdr:colOff>
      <xdr:row>3</xdr:row>
      <xdr:rowOff>101160</xdr:rowOff>
    </xdr:from>
    <xdr:to>
      <xdr:col>24</xdr:col>
      <xdr:colOff>255960</xdr:colOff>
      <xdr:row>20</xdr:row>
      <xdr:rowOff>118800</xdr:rowOff>
    </xdr:to>
    <xdr:graphicFrame>
      <xdr:nvGraphicFramePr>
        <xdr:cNvPr id="29" name="Chart 1"/>
        <xdr:cNvGraphicFramePr/>
      </xdr:nvGraphicFramePr>
      <xdr:xfrm>
        <a:off x="11748240" y="758520"/>
        <a:ext cx="5759280" cy="359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45</xdr:row>
      <xdr:rowOff>101160</xdr:rowOff>
    </xdr:from>
    <xdr:to>
      <xdr:col>11</xdr:col>
      <xdr:colOff>589320</xdr:colOff>
      <xdr:row>62</xdr:row>
      <xdr:rowOff>102240</xdr:rowOff>
    </xdr:to>
    <xdr:graphicFrame>
      <xdr:nvGraphicFramePr>
        <xdr:cNvPr id="30" name="Chart 1"/>
        <xdr:cNvGraphicFramePr/>
      </xdr:nvGraphicFramePr>
      <xdr:xfrm>
        <a:off x="0" y="274701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drawing" Target="../drawings/drawing7.xml"/>
</Relationships>
</file>

<file path=xl/worksheets/_rels/sheet10.xml.rels><?xml version="1.0" encoding="UTF-8"?>
<Relationships xmlns="http://schemas.openxmlformats.org/package/2006/relationships"><Relationship Id="rId1" Type="http://schemas.openxmlformats.org/officeDocument/2006/relationships/drawing" Target="../drawings/drawing8.xml"/>
</Relationships>
</file>

<file path=xl/worksheets/_rels/sheet11.xml.rels><?xml version="1.0" encoding="UTF-8"?>
<Relationships xmlns="http://schemas.openxmlformats.org/package/2006/relationships"><Relationship Id="rId1" Type="http://schemas.openxmlformats.org/officeDocument/2006/relationships/drawing" Target="../drawings/drawing9.xml"/>
</Relationships>
</file>

<file path=xl/worksheets/_rels/sheet12.xml.rels><?xml version="1.0" encoding="UTF-8"?>
<Relationships xmlns="http://schemas.openxmlformats.org/package/2006/relationships"><Relationship Id="rId1" Type="http://schemas.openxmlformats.org/officeDocument/2006/relationships/drawing" Target="../drawings/drawing10.xml"/>
</Relationships>
</file>

<file path=xl/worksheets/_rels/sheet13.xml.rels><?xml version="1.0" encoding="UTF-8"?>
<Relationships xmlns="http://schemas.openxmlformats.org/package/2006/relationships"><Relationship Id="rId1" Type="http://schemas.openxmlformats.org/officeDocument/2006/relationships/drawing" Target="../drawings/drawing11.xml"/>
</Relationships>
</file>

<file path=xl/worksheets/_rels/sheet14.xml.rels><?xml version="1.0" encoding="UTF-8"?>
<Relationships xmlns="http://schemas.openxmlformats.org/package/2006/relationships"><Relationship Id="rId1"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drawing" Target="../drawings/drawing14.xml"/>
</Relationships>
</file>

<file path=xl/worksheets/_rels/sheet17.xml.rels><?xml version="1.0" encoding="UTF-8"?>
<Relationships xmlns="http://schemas.openxmlformats.org/package/2006/relationships"><Relationship Id="rId1" Type="http://schemas.openxmlformats.org/officeDocument/2006/relationships/drawing" Target="../drawings/drawing15.xml"/>
</Relationships>
</file>

<file path=xl/worksheets/_rels/sheet18.xml.rels><?xml version="1.0" encoding="UTF-8"?>
<Relationships xmlns="http://schemas.openxmlformats.org/package/2006/relationships"><Relationship Id="rId1" Type="http://schemas.openxmlformats.org/officeDocument/2006/relationships/drawing" Target="../drawings/drawing1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1"/>
    <pageSetUpPr fitToPage="fals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10"/>
  </cols>
  <sheetData>
    <row r="1" customFormat="false" ht="21.75" hidden="false" customHeight="true" outlineLevel="0" collapsed="false">
      <c r="A1" s="2" t="s">
        <v>0</v>
      </c>
    </row>
    <row r="2" customFormat="false" ht="15" hidden="false" customHeight="true" outlineLevel="0" collapsed="false">
      <c r="A2" s="3" t="s">
        <v>1</v>
      </c>
    </row>
    <row r="4" customFormat="false" ht="45.75" hidden="false" customHeight="true" outlineLevel="0" collapsed="false">
      <c r="A4" s="4" t="s">
        <v>2</v>
      </c>
      <c r="B4" s="5" t="s">
        <v>3</v>
      </c>
    </row>
    <row r="5" customFormat="false" ht="45.75" hidden="false" customHeight="true" outlineLevel="0" collapsed="false">
      <c r="A5" s="4" t="s">
        <v>4</v>
      </c>
      <c r="B5" s="5" t="s">
        <v>5</v>
      </c>
    </row>
    <row r="6" customFormat="false" ht="45.75" hidden="false" customHeight="true" outlineLevel="0" collapsed="false">
      <c r="A6" s="4" t="s">
        <v>6</v>
      </c>
      <c r="B6" s="5" t="s">
        <v>7</v>
      </c>
    </row>
    <row r="7" customFormat="false" ht="45.75" hidden="false" customHeight="true" outlineLevel="0" collapsed="false">
      <c r="A7" s="4" t="s">
        <v>8</v>
      </c>
      <c r="B7" s="5" t="s">
        <v>9</v>
      </c>
    </row>
    <row r="8" customFormat="false" ht="45.75" hidden="false" customHeight="true" outlineLevel="0" collapsed="false">
      <c r="A8" s="4" t="s">
        <v>10</v>
      </c>
      <c r="B8" s="5" t="s">
        <v>11</v>
      </c>
    </row>
    <row r="9" customFormat="false" ht="45.75" hidden="false" customHeight="true" outlineLevel="0" collapsed="false">
      <c r="A9" s="4" t="s">
        <v>12</v>
      </c>
      <c r="B9" s="5" t="s">
        <v>13</v>
      </c>
    </row>
    <row r="10" customFormat="false" ht="45.75" hidden="false" customHeight="true" outlineLevel="0" collapsed="false">
      <c r="A10" s="4" t="s">
        <v>14</v>
      </c>
      <c r="B10" s="5" t="s">
        <v>15</v>
      </c>
    </row>
    <row r="11" customFormat="false" ht="45.75" hidden="false" customHeight="true" outlineLevel="0" collapsed="false">
      <c r="A11" s="4" t="s">
        <v>16</v>
      </c>
      <c r="B11" s="5" t="s">
        <v>17</v>
      </c>
    </row>
    <row r="12" customFormat="false" ht="45.75" hidden="false" customHeight="true" outlineLevel="0" collapsed="false">
      <c r="A12" s="4" t="s">
        <v>18</v>
      </c>
      <c r="B12" s="5" t="s">
        <v>19</v>
      </c>
    </row>
    <row r="14" customFormat="false" ht="15" hidden="false" customHeight="true" outlineLevel="0" collapsed="false">
      <c r="A14" s="6" t="s">
        <v>20</v>
      </c>
    </row>
    <row r="15" customFormat="false" ht="15" hidden="false" customHeight="true" outlineLevel="0" collapsed="false">
      <c r="A15" s="7" t="s">
        <v>21</v>
      </c>
      <c r="B15" s="8" t="s">
        <v>22</v>
      </c>
    </row>
    <row r="16" customFormat="false" ht="15" hidden="false" customHeight="true" outlineLevel="0" collapsed="false">
      <c r="A16" s="9" t="n">
        <f aca="false">6+1</f>
        <v>7</v>
      </c>
      <c r="B16" s="8" t="s">
        <v>23</v>
      </c>
    </row>
    <row r="17" customFormat="false" ht="15" hidden="false" customHeight="true" outlineLevel="0" collapsed="false">
      <c r="A17" s="10" t="n">
        <f aca="false">'Garage Costs'!B6</f>
        <v>90</v>
      </c>
      <c r="B17" s="8" t="s">
        <v>24</v>
      </c>
    </row>
    <row r="19" customFormat="false" ht="15" hidden="false" customHeight="true" outlineLevel="0" collapsed="false">
      <c r="A19"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4"/>
    <col collapsed="false" customWidth="true" hidden="false" outlineLevel="0" max="3" min="3" style="1" width="18"/>
    <col collapsed="false" customWidth="true" hidden="false" outlineLevel="0" max="4" min="4" style="1" width="13"/>
    <col collapsed="false" customWidth="true" hidden="false" outlineLevel="0" max="5" min="5" style="1" width="11"/>
    <col collapsed="false" customWidth="true" hidden="false" outlineLevel="0" max="6" min="6" style="1" width="13"/>
    <col collapsed="false" customWidth="true" hidden="false" outlineLevel="0" max="7" min="7" style="1" width="12"/>
    <col collapsed="false" customWidth="true" hidden="false" outlineLevel="0" max="8" min="8" style="1" width="10"/>
    <col collapsed="false" customWidth="true" hidden="false" outlineLevel="0" max="9" min="9" style="1" width="16"/>
    <col collapsed="false" customWidth="true" hidden="false" outlineLevel="0" max="10" min="10" style="1" width="22"/>
    <col collapsed="false" customWidth="true" hidden="false" outlineLevel="0" max="11" min="11" style="1" width="18"/>
    <col collapsed="false" customWidth="true" hidden="false" outlineLevel="0" max="12" min="12" style="1" width="60"/>
  </cols>
  <sheetData>
    <row r="1" customFormat="false" ht="21.75" hidden="false" customHeight="true" outlineLevel="0" collapsed="false">
      <c r="A1" s="2" t="s">
        <v>26</v>
      </c>
    </row>
    <row r="2" customFormat="false" ht="15" hidden="false" customHeight="true" outlineLevel="0" collapsed="false">
      <c r="A2" s="3" t="s">
        <v>27</v>
      </c>
    </row>
    <row r="4" customFormat="false" ht="42" hidden="false" customHeight="true" outlineLevel="0" collapsed="false">
      <c r="A4" s="11" t="s">
        <v>28</v>
      </c>
      <c r="B4" s="11" t="s">
        <v>29</v>
      </c>
      <c r="C4" s="11" t="s">
        <v>30</v>
      </c>
      <c r="D4" s="11" t="s">
        <v>31</v>
      </c>
      <c r="E4" s="11" t="s">
        <v>32</v>
      </c>
      <c r="F4" s="11" t="s">
        <v>33</v>
      </c>
      <c r="G4" s="11" t="s">
        <v>34</v>
      </c>
      <c r="H4" s="11" t="s">
        <v>35</v>
      </c>
      <c r="I4" s="11" t="s">
        <v>36</v>
      </c>
      <c r="J4" s="11" t="s">
        <v>37</v>
      </c>
      <c r="K4" s="11" t="s">
        <v>38</v>
      </c>
      <c r="L4" s="11" t="s">
        <v>39</v>
      </c>
    </row>
    <row r="5" customFormat="false" ht="39.75" hidden="false" customHeight="true" outlineLevel="0" collapsed="false">
      <c r="A5" s="12" t="s">
        <v>40</v>
      </c>
      <c r="B5" s="12" t="s">
        <v>41</v>
      </c>
      <c r="C5" s="12" t="s">
        <v>42</v>
      </c>
      <c r="D5" s="12" t="s">
        <v>43</v>
      </c>
      <c r="E5" s="12" t="s">
        <v>43</v>
      </c>
      <c r="F5" s="12" t="s">
        <v>44</v>
      </c>
      <c r="G5" s="12" t="s">
        <v>45</v>
      </c>
      <c r="H5" s="12" t="s">
        <v>43</v>
      </c>
      <c r="I5" s="12" t="s">
        <v>46</v>
      </c>
      <c r="J5" s="12" t="s">
        <v>47</v>
      </c>
      <c r="K5" s="12" t="s">
        <v>48</v>
      </c>
      <c r="L5" s="12" t="s">
        <v>49</v>
      </c>
    </row>
    <row r="6" customFormat="false" ht="39.75" hidden="false" customHeight="true" outlineLevel="0" collapsed="false">
      <c r="A6" s="13" t="s">
        <v>50</v>
      </c>
      <c r="B6" s="13" t="s">
        <v>41</v>
      </c>
      <c r="C6" s="13" t="s">
        <v>42</v>
      </c>
      <c r="D6" s="13" t="s">
        <v>43</v>
      </c>
      <c r="E6" s="13" t="s">
        <v>43</v>
      </c>
      <c r="F6" s="13" t="s">
        <v>51</v>
      </c>
      <c r="G6" s="13" t="s">
        <v>52</v>
      </c>
      <c r="H6" s="13" t="s">
        <v>43</v>
      </c>
      <c r="I6" s="13" t="s">
        <v>53</v>
      </c>
      <c r="J6" s="13" t="s">
        <v>54</v>
      </c>
      <c r="K6" s="13" t="s">
        <v>55</v>
      </c>
      <c r="L6" s="13" t="s">
        <v>56</v>
      </c>
    </row>
    <row r="7" customFormat="false" ht="39.75" hidden="false" customHeight="true" outlineLevel="0" collapsed="false">
      <c r="A7" s="12" t="s">
        <v>57</v>
      </c>
      <c r="B7" s="12" t="s">
        <v>41</v>
      </c>
      <c r="C7" s="12" t="s">
        <v>42</v>
      </c>
      <c r="D7" s="12" t="s">
        <v>43</v>
      </c>
      <c r="E7" s="12" t="s">
        <v>43</v>
      </c>
      <c r="F7" s="12" t="s">
        <v>58</v>
      </c>
      <c r="G7" s="12" t="s">
        <v>45</v>
      </c>
      <c r="H7" s="12" t="s">
        <v>43</v>
      </c>
      <c r="I7" s="12" t="s">
        <v>59</v>
      </c>
      <c r="J7" s="12" t="s">
        <v>43</v>
      </c>
      <c r="K7" s="12" t="s">
        <v>60</v>
      </c>
      <c r="L7" s="12" t="s">
        <v>61</v>
      </c>
    </row>
    <row r="8" customFormat="false" ht="39.75" hidden="false" customHeight="true" outlineLevel="0" collapsed="false">
      <c r="A8" s="13" t="s">
        <v>62</v>
      </c>
      <c r="B8" s="13" t="s">
        <v>41</v>
      </c>
      <c r="C8" s="13" t="s">
        <v>42</v>
      </c>
      <c r="D8" s="13" t="s">
        <v>43</v>
      </c>
      <c r="E8" s="13" t="s">
        <v>43</v>
      </c>
      <c r="F8" s="13" t="s">
        <v>63</v>
      </c>
      <c r="G8" s="13" t="s">
        <v>64</v>
      </c>
      <c r="H8" s="13" t="s">
        <v>65</v>
      </c>
      <c r="I8" s="13" t="s">
        <v>66</v>
      </c>
      <c r="J8" s="13" t="s">
        <v>43</v>
      </c>
      <c r="K8" s="13" t="s">
        <v>43</v>
      </c>
      <c r="L8" s="13" t="s">
        <v>67</v>
      </c>
    </row>
    <row r="9" customFormat="false" ht="39.75" hidden="false" customHeight="true" outlineLevel="0" collapsed="false">
      <c r="A9" s="12" t="s">
        <v>68</v>
      </c>
      <c r="B9" s="12" t="s">
        <v>41</v>
      </c>
      <c r="C9" s="12" t="s">
        <v>42</v>
      </c>
      <c r="D9" s="12" t="s">
        <v>43</v>
      </c>
      <c r="E9" s="12" t="s">
        <v>43</v>
      </c>
      <c r="F9" s="12" t="s">
        <v>69</v>
      </c>
      <c r="G9" s="12" t="s">
        <v>45</v>
      </c>
      <c r="H9" s="12" t="s">
        <v>43</v>
      </c>
      <c r="I9" s="12" t="s">
        <v>70</v>
      </c>
      <c r="J9" s="12" t="s">
        <v>71</v>
      </c>
      <c r="K9" s="12" t="s">
        <v>43</v>
      </c>
      <c r="L9" s="12" t="s">
        <v>72</v>
      </c>
    </row>
    <row r="10" customFormat="false" ht="39.75" hidden="false" customHeight="true" outlineLevel="0" collapsed="false">
      <c r="A10" s="13" t="s">
        <v>73</v>
      </c>
      <c r="B10" s="13" t="s">
        <v>41</v>
      </c>
      <c r="C10" s="13" t="s">
        <v>42</v>
      </c>
      <c r="D10" s="13" t="s">
        <v>43</v>
      </c>
      <c r="E10" s="13" t="s">
        <v>43</v>
      </c>
      <c r="F10" s="13" t="s">
        <v>69</v>
      </c>
      <c r="G10" s="13" t="s">
        <v>74</v>
      </c>
      <c r="H10" s="13" t="s">
        <v>65</v>
      </c>
      <c r="I10" s="13" t="s">
        <v>75</v>
      </c>
      <c r="J10" s="13" t="s">
        <v>76</v>
      </c>
      <c r="K10" s="13" t="s">
        <v>43</v>
      </c>
      <c r="L10" s="13" t="s">
        <v>77</v>
      </c>
    </row>
    <row r="11" customFormat="false" ht="39.75" hidden="false" customHeight="true" outlineLevel="0" collapsed="false">
      <c r="A11" s="12" t="s">
        <v>78</v>
      </c>
      <c r="B11" s="12" t="s">
        <v>79</v>
      </c>
      <c r="C11" s="12" t="s">
        <v>80</v>
      </c>
      <c r="D11" s="14" t="n">
        <v>250</v>
      </c>
      <c r="E11" s="14" t="n">
        <v>75</v>
      </c>
      <c r="F11" s="14" t="n">
        <v>120</v>
      </c>
      <c r="G11" s="12" t="s">
        <v>81</v>
      </c>
      <c r="H11" s="12" t="s">
        <v>82</v>
      </c>
      <c r="I11" s="12" t="s">
        <v>83</v>
      </c>
      <c r="J11" s="12" t="s">
        <v>84</v>
      </c>
      <c r="K11" s="12" t="s">
        <v>85</v>
      </c>
      <c r="L11" s="12" t="s">
        <v>86</v>
      </c>
    </row>
    <row r="12" customFormat="false" ht="39.75" hidden="false" customHeight="true" outlineLevel="0" collapsed="false">
      <c r="A12" s="13" t="s">
        <v>87</v>
      </c>
      <c r="B12" s="13" t="s">
        <v>88</v>
      </c>
      <c r="C12" s="13" t="s">
        <v>89</v>
      </c>
      <c r="D12" s="15" t="n">
        <v>1800</v>
      </c>
      <c r="E12" s="15" t="n">
        <v>500</v>
      </c>
      <c r="F12" s="15" t="n">
        <v>90</v>
      </c>
      <c r="G12" s="13" t="s">
        <v>90</v>
      </c>
      <c r="H12" s="13" t="s">
        <v>65</v>
      </c>
      <c r="I12" s="13" t="s">
        <v>91</v>
      </c>
      <c r="J12" s="13" t="s">
        <v>43</v>
      </c>
      <c r="K12" s="13" t="s">
        <v>43</v>
      </c>
      <c r="L12" s="13" t="s">
        <v>92</v>
      </c>
    </row>
    <row r="13" customFormat="false" ht="39.75" hidden="false" customHeight="true" outlineLevel="0" collapsed="false">
      <c r="A13" s="12" t="s">
        <v>93</v>
      </c>
      <c r="B13" s="12" t="s">
        <v>79</v>
      </c>
      <c r="C13" s="12" t="s">
        <v>80</v>
      </c>
      <c r="D13" s="14" t="n">
        <v>900</v>
      </c>
      <c r="E13" s="14" t="n">
        <v>250</v>
      </c>
      <c r="F13" s="14" t="n">
        <v>110</v>
      </c>
      <c r="G13" s="12" t="s">
        <v>94</v>
      </c>
      <c r="H13" s="12" t="s">
        <v>95</v>
      </c>
      <c r="I13" s="12" t="s">
        <v>96</v>
      </c>
      <c r="J13" s="12" t="s">
        <v>97</v>
      </c>
      <c r="K13" s="12" t="s">
        <v>93</v>
      </c>
      <c r="L13" s="12" t="s">
        <v>98</v>
      </c>
    </row>
    <row r="14" customFormat="false" ht="39.75" hidden="false" customHeight="true" outlineLevel="0" collapsed="false">
      <c r="A14" s="13" t="s">
        <v>99</v>
      </c>
      <c r="B14" s="13" t="s">
        <v>79</v>
      </c>
      <c r="C14" s="13" t="s">
        <v>80</v>
      </c>
      <c r="D14" s="15" t="n">
        <v>3500</v>
      </c>
      <c r="E14" s="15" t="n">
        <v>950</v>
      </c>
      <c r="F14" s="15" t="n">
        <v>140</v>
      </c>
      <c r="G14" s="13" t="s">
        <v>100</v>
      </c>
      <c r="H14" s="13" t="s">
        <v>65</v>
      </c>
      <c r="I14" s="13" t="s">
        <v>101</v>
      </c>
      <c r="J14" s="13" t="s">
        <v>43</v>
      </c>
      <c r="K14" s="13" t="s">
        <v>99</v>
      </c>
      <c r="L14" s="13" t="s">
        <v>102</v>
      </c>
    </row>
    <row r="15" customFormat="false" ht="39.75" hidden="false" customHeight="true" outlineLevel="0" collapsed="false">
      <c r="A15" s="12" t="s">
        <v>103</v>
      </c>
      <c r="B15" s="12" t="s">
        <v>79</v>
      </c>
      <c r="C15" s="12" t="s">
        <v>80</v>
      </c>
      <c r="D15" s="14" t="n">
        <v>1400</v>
      </c>
      <c r="E15" s="14" t="n">
        <v>400</v>
      </c>
      <c r="F15" s="14" t="n">
        <v>100</v>
      </c>
      <c r="G15" s="12" t="s">
        <v>104</v>
      </c>
      <c r="H15" s="12" t="s">
        <v>105</v>
      </c>
      <c r="I15" s="12" t="s">
        <v>106</v>
      </c>
      <c r="J15" s="12" t="s">
        <v>107</v>
      </c>
      <c r="K15" s="12" t="s">
        <v>103</v>
      </c>
      <c r="L15" s="12" t="s">
        <v>108</v>
      </c>
    </row>
    <row r="16" customFormat="false" ht="39.75" hidden="false" customHeight="true" outlineLevel="0" collapsed="false">
      <c r="A16" s="13" t="s">
        <v>109</v>
      </c>
      <c r="B16" s="13" t="s">
        <v>79</v>
      </c>
      <c r="C16" s="13" t="s">
        <v>42</v>
      </c>
      <c r="D16" s="13" t="s">
        <v>43</v>
      </c>
      <c r="E16" s="13" t="s">
        <v>43</v>
      </c>
      <c r="F16" s="15" t="n">
        <v>60</v>
      </c>
      <c r="G16" s="13" t="s">
        <v>110</v>
      </c>
      <c r="H16" s="13" t="s">
        <v>95</v>
      </c>
      <c r="I16" s="13" t="s">
        <v>111</v>
      </c>
      <c r="J16" s="13" t="s">
        <v>112</v>
      </c>
      <c r="K16" s="13" t="s">
        <v>43</v>
      </c>
      <c r="L16" s="13" t="s">
        <v>113</v>
      </c>
    </row>
    <row r="17" customFormat="false" ht="39.75" hidden="false" customHeight="true" outlineLevel="0" collapsed="false">
      <c r="A17" s="12" t="s">
        <v>114</v>
      </c>
      <c r="B17" s="12" t="s">
        <v>115</v>
      </c>
      <c r="C17" s="12" t="s">
        <v>89</v>
      </c>
      <c r="D17" s="14" t="n">
        <v>2200</v>
      </c>
      <c r="E17" s="14" t="n">
        <v>650</v>
      </c>
      <c r="F17" s="14" t="n">
        <v>150</v>
      </c>
      <c r="G17" s="12" t="s">
        <v>116</v>
      </c>
      <c r="H17" s="12" t="s">
        <v>65</v>
      </c>
      <c r="I17" s="12" t="s">
        <v>117</v>
      </c>
      <c r="J17" s="12" t="s">
        <v>118</v>
      </c>
      <c r="K17" s="12" t="s">
        <v>119</v>
      </c>
      <c r="L17" s="12" t="s">
        <v>120</v>
      </c>
    </row>
    <row r="18" customFormat="false" ht="39.75" hidden="false" customHeight="true" outlineLevel="0" collapsed="false">
      <c r="A18" s="13" t="s">
        <v>121</v>
      </c>
      <c r="B18" s="13" t="s">
        <v>122</v>
      </c>
      <c r="C18" s="13" t="s">
        <v>89</v>
      </c>
      <c r="D18" s="15" t="n">
        <v>4500</v>
      </c>
      <c r="E18" s="15" t="n">
        <v>1200</v>
      </c>
      <c r="F18" s="15" t="n">
        <v>180</v>
      </c>
      <c r="G18" s="13" t="s">
        <v>123</v>
      </c>
      <c r="H18" s="13" t="s">
        <v>65</v>
      </c>
      <c r="I18" s="13" t="s">
        <v>124</v>
      </c>
      <c r="J18" s="13" t="s">
        <v>125</v>
      </c>
      <c r="K18" s="13" t="s">
        <v>43</v>
      </c>
      <c r="L18" s="13" t="s">
        <v>126</v>
      </c>
    </row>
    <row r="20" customFormat="false" ht="15" hidden="false" customHeight="true" outlineLevel="0" collapsed="false">
      <c r="A20" s="3" t="s">
        <v>127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L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6"/>
    <col collapsed="false" customWidth="true" hidden="false" outlineLevel="0" max="12" min="3" style="1" width="13"/>
  </cols>
  <sheetData>
    <row r="1" customFormat="false" ht="21.75" hidden="false" customHeight="true" outlineLevel="0" collapsed="false">
      <c r="A1" s="2" t="s">
        <v>128</v>
      </c>
    </row>
    <row r="2" customFormat="false" ht="15" hidden="false" customHeight="true" outlineLevel="0" collapsed="false">
      <c r="A2" s="3" t="s">
        <v>129</v>
      </c>
    </row>
    <row r="4" customFormat="false" ht="15" hidden="false" customHeight="true" outlineLevel="0" collapsed="false">
      <c r="A4" s="6" t="s">
        <v>130</v>
      </c>
    </row>
    <row r="5" customFormat="false" ht="30" hidden="false" customHeight="true" outlineLevel="0" collapsed="false">
      <c r="A5" s="11" t="s">
        <v>131</v>
      </c>
      <c r="B5" s="11" t="s">
        <v>55</v>
      </c>
      <c r="C5" s="11" t="s">
        <v>132</v>
      </c>
      <c r="D5" s="11" t="s">
        <v>133</v>
      </c>
      <c r="E5" s="11" t="s">
        <v>85</v>
      </c>
      <c r="F5" s="11" t="s">
        <v>48</v>
      </c>
      <c r="G5" s="11" t="s">
        <v>134</v>
      </c>
      <c r="H5" s="11" t="s">
        <v>119</v>
      </c>
      <c r="I5" s="11" t="s">
        <v>60</v>
      </c>
      <c r="J5" s="11" t="s">
        <v>93</v>
      </c>
      <c r="K5" s="11" t="s">
        <v>99</v>
      </c>
      <c r="L5" s="11" t="s">
        <v>103</v>
      </c>
    </row>
    <row r="6" customFormat="false" ht="15" hidden="false" customHeight="true" outlineLevel="0" collapsed="false">
      <c r="A6" s="16" t="n">
        <v>1</v>
      </c>
      <c r="B6" s="17" t="n">
        <f aca="false">ROUND('Missile Silos'!B5*1.5*$A6^1.75/5,0)*5</f>
        <v>90</v>
      </c>
      <c r="C6" s="17" t="n">
        <f aca="false">ROUND('Ion Shield Nodes'!B5*1.5*$A6^1.75/5,0)*5</f>
        <v>90</v>
      </c>
      <c r="D6" s="17" t="n">
        <f aca="false">ROUND('Hull Plating'!B5*1.5*$A6^1.75/5,0)*5</f>
        <v>75</v>
      </c>
      <c r="E6" s="17" t="n">
        <f aca="false">ROUND('Tesla Coils'!B5*1.5*$A6^1.75/5,0)*5</f>
        <v>180</v>
      </c>
      <c r="F6" s="17" t="n">
        <f aca="false">ROUND('Laser Arrays'!B5*1.5*$A6^1.75/5,0)*5</f>
        <v>105</v>
      </c>
      <c r="G6" s="17" t="n">
        <f aca="false">ROUND('Salvage Vacuum'!B5*1.5*$A6^1.75/5,0)*5</f>
        <v>135</v>
      </c>
      <c r="H6" s="17" t="n">
        <f aca="false">'Deadstick Pilot'!C16</f>
        <v>2200</v>
      </c>
      <c r="I6" s="17" t="n">
        <f aca="false">ROUND('Pulse Emitter'!B5*1.5*$A6^1.75/5,0)*5</f>
        <v>120</v>
      </c>
      <c r="J6" s="17" t="n">
        <f aca="false">ROUND('Gravity Well'!B5*1.5*$A6^1.75/5,0)*5</f>
        <v>165</v>
      </c>
      <c r="K6" s="17" t="n">
        <f aca="false">ROUND(Hellstitch!B5*1.5*$A6^1.75/5,0)*5</f>
        <v>195</v>
      </c>
      <c r="L6" s="17" t="n">
        <f aca="false">ROUND('Aegis Net'!B5*1.5*$A6^1.75/5,0)*5</f>
        <v>180</v>
      </c>
    </row>
    <row r="7" customFormat="false" ht="15" hidden="false" customHeight="true" outlineLevel="0" collapsed="false">
      <c r="A7" s="16" t="n">
        <v>2</v>
      </c>
      <c r="B7" s="18" t="n">
        <f aca="false">ROUND('Missile Silos'!B5*1.5*$A7^1.75/5,0)*5</f>
        <v>305</v>
      </c>
      <c r="C7" s="18" t="n">
        <f aca="false">ROUND('Ion Shield Nodes'!B5*1.5*$A7^1.75/5,0)*5</f>
        <v>305</v>
      </c>
      <c r="D7" s="18" t="n">
        <f aca="false">ROUND('Hull Plating'!B5*1.5*$A7^1.75/5,0)*5</f>
        <v>250</v>
      </c>
      <c r="E7" s="18" t="n">
        <f aca="false">ROUND('Tesla Coils'!B5*1.5*$A7^1.75/5,0)*5</f>
        <v>605</v>
      </c>
      <c r="F7" s="18" t="n">
        <f aca="false">ROUND('Laser Arrays'!B5*1.5*$A7^1.75/5,0)*5</f>
        <v>355</v>
      </c>
      <c r="G7" s="18" t="n">
        <f aca="false">ROUND('Salvage Vacuum'!B5*1.5*$A7^1.75/5,0)*5</f>
        <v>455</v>
      </c>
      <c r="H7" s="18" t="n">
        <f aca="false">ROUND('Deadstick Pilot'!B5*1.5*$A7^1.75/5,0)*5</f>
        <v>505</v>
      </c>
      <c r="I7" s="18" t="n">
        <f aca="false">ROUND('Pulse Emitter'!B5*1.5*$A7^1.75/5,0)*5</f>
        <v>405</v>
      </c>
      <c r="J7" s="18" t="n">
        <f aca="false">ROUND('Gravity Well'!B5*1.5*$A7^1.75/5,0)*5</f>
        <v>555</v>
      </c>
      <c r="K7" s="18" t="n">
        <f aca="false">ROUND(Hellstitch!B5*1.5*$A7^1.75/5,0)*5</f>
        <v>655</v>
      </c>
      <c r="L7" s="18" t="n">
        <f aca="false">ROUND('Aegis Net'!B5*1.5*$A7^1.75/5,0)*5</f>
        <v>605</v>
      </c>
    </row>
    <row r="8" customFormat="false" ht="15" hidden="false" customHeight="true" outlineLevel="0" collapsed="false">
      <c r="A8" s="16" t="n">
        <v>3</v>
      </c>
      <c r="B8" s="17" t="n">
        <f aca="false">ROUND('Missile Silos'!B5*1.5*$A8^1.75/5,0)*5</f>
        <v>615</v>
      </c>
      <c r="C8" s="17" t="n">
        <f aca="false">ROUND('Ion Shield Nodes'!B5*1.5*$A8^1.75/5,0)*5</f>
        <v>615</v>
      </c>
      <c r="D8" s="17" t="n">
        <f aca="false">ROUND('Hull Plating'!B5*1.5*$A8^1.75/5,0)*5</f>
        <v>515</v>
      </c>
      <c r="E8" s="17" t="n">
        <f aca="false">ROUND('Tesla Coils'!B5*1.5*$A8^1.75/5,0)*5</f>
        <v>1230</v>
      </c>
      <c r="F8" s="17" t="n">
        <f aca="false">ROUND('Laser Arrays'!B5*1.5*$A8^1.75/5,0)*5</f>
        <v>720</v>
      </c>
      <c r="G8" s="17" t="n">
        <f aca="false">ROUND('Salvage Vacuum'!B5*1.5*$A8^1.75/5,0)*5</f>
        <v>925</v>
      </c>
      <c r="H8" s="17" t="n">
        <f aca="false">ROUND('Deadstick Pilot'!B5*1.5*$A8^1.75/5,0)*5</f>
        <v>1025</v>
      </c>
      <c r="I8" s="17" t="n">
        <f aca="false">ROUND('Pulse Emitter'!B5*1.5*$A8^1.75/5,0)*5</f>
        <v>820</v>
      </c>
      <c r="J8" s="17" t="n">
        <f aca="false">ROUND('Gravity Well'!B5*1.5*$A8^1.75/5,0)*5</f>
        <v>1130</v>
      </c>
      <c r="K8" s="17" t="n">
        <f aca="false">ROUND(Hellstitch!B5*1.5*$A8^1.75/5,0)*5</f>
        <v>1335</v>
      </c>
      <c r="L8" s="17" t="n">
        <f aca="false">ROUND('Aegis Net'!B5*1.5*$A8^1.75/5,0)*5</f>
        <v>1230</v>
      </c>
    </row>
    <row r="9" customFormat="false" ht="15" hidden="false" customHeight="true" outlineLevel="0" collapsed="false">
      <c r="A9" s="16" t="n">
        <v>4</v>
      </c>
      <c r="B9" s="18" t="n">
        <f aca="false">ROUND('Missile Silos'!B5*1.5*$A9^1.75/5,0)*5</f>
        <v>1020</v>
      </c>
      <c r="C9" s="18" t="n">
        <f aca="false">ROUND('Ion Shield Nodes'!B5*1.5*$A9^1.75/5,0)*5</f>
        <v>1020</v>
      </c>
      <c r="D9" s="18" t="n">
        <f aca="false">ROUND('Hull Plating'!B5*1.5*$A9^1.75/5,0)*5</f>
        <v>850</v>
      </c>
      <c r="E9" s="18" t="n">
        <f aca="false">ROUND('Tesla Coils'!B5*1.5*$A9^1.75/5,0)*5</f>
        <v>2035</v>
      </c>
      <c r="F9" s="18" t="n">
        <f aca="false">ROUND('Laser Arrays'!B5*1.5*$A9^1.75/5,0)*5</f>
        <v>1190</v>
      </c>
      <c r="G9" s="18" t="n">
        <f aca="false">ROUND('Salvage Vacuum'!B5*1.5*$A9^1.75/5,0)*5</f>
        <v>1525</v>
      </c>
      <c r="H9" s="18" t="n">
        <f aca="false">ROUND('Deadstick Pilot'!B5*1.5*$A9^1.75/5,0)*5</f>
        <v>1695</v>
      </c>
      <c r="I9" s="18" t="n">
        <f aca="false">ROUND('Pulse Emitter'!B5*1.5*$A9^1.75/5,0)*5</f>
        <v>1360</v>
      </c>
      <c r="J9" s="18" t="n">
        <f aca="false">ROUND('Gravity Well'!B5*1.5*$A9^1.75/5,0)*5</f>
        <v>1865</v>
      </c>
      <c r="K9" s="18" t="n">
        <f aca="false">ROUND(Hellstitch!B5*1.5*$A9^1.75/5,0)*5</f>
        <v>2205</v>
      </c>
      <c r="L9" s="18" t="n">
        <f aca="false">ROUND('Aegis Net'!B5*1.5*$A9^1.75/5,0)*5</f>
        <v>2035</v>
      </c>
    </row>
    <row r="10" customFormat="false" ht="15" hidden="false" customHeight="true" outlineLevel="0" collapsed="false">
      <c r="A10" s="16" t="n">
        <v>5</v>
      </c>
      <c r="B10" s="17" t="n">
        <f aca="false">ROUND('Missile Silos'!B5*1.5*$A10^1.75/5,0)*5</f>
        <v>1505</v>
      </c>
      <c r="C10" s="17" t="n">
        <f aca="false">ROUND('Ion Shield Nodes'!B5*1.5*$A10^1.75/5,0)*5</f>
        <v>1505</v>
      </c>
      <c r="D10" s="17" t="n">
        <f aca="false">ROUND('Hull Plating'!B5*1.5*$A10^1.75/5,0)*5</f>
        <v>1255</v>
      </c>
      <c r="E10" s="17" t="n">
        <f aca="false">ROUND('Tesla Coils'!B5*1.5*$A10^1.75/5,0)*5</f>
        <v>3010</v>
      </c>
      <c r="F10" s="17" t="n">
        <f aca="false">ROUND('Laser Arrays'!B5*1.5*$A10^1.75/5,0)*5</f>
        <v>1755</v>
      </c>
      <c r="G10" s="17" t="n">
        <f aca="false">ROUND('Salvage Vacuum'!B5*1.5*$A10^1.75/5,0)*5</f>
        <v>2255</v>
      </c>
      <c r="H10" s="17" t="n">
        <f aca="false">ROUND('Deadstick Pilot'!B5*1.5*$A10^1.75/5,0)*5</f>
        <v>2510</v>
      </c>
      <c r="I10" s="17" t="n">
        <f aca="false">ROUND('Pulse Emitter'!B5*1.5*$A10^1.75/5,0)*5</f>
        <v>2005</v>
      </c>
      <c r="J10" s="17" t="n">
        <f aca="false">ROUND('Gravity Well'!B5*1.5*$A10^1.75/5,0)*5</f>
        <v>2760</v>
      </c>
      <c r="K10" s="17" t="n">
        <f aca="false">ROUND(Hellstitch!B5*1.5*$A10^1.75/5,0)*5</f>
        <v>3260</v>
      </c>
      <c r="L10" s="17" t="n">
        <f aca="false">ROUND('Aegis Net'!B5*1.5*$A10^1.75/5,0)*5</f>
        <v>3010</v>
      </c>
    </row>
    <row r="11" customFormat="false" ht="15" hidden="false" customHeight="true" outlineLevel="0" collapsed="false">
      <c r="A11" s="16" t="n">
        <v>6</v>
      </c>
      <c r="B11" s="18" t="n">
        <f aca="false">ROUND('Missile Silos'!B5*1.5*$A11^1.75/5,0)*5</f>
        <v>2070</v>
      </c>
      <c r="C11" s="18" t="n">
        <f aca="false">ROUND('Ion Shield Nodes'!B5*1.5*$A11^1.75/5,0)*5</f>
        <v>2070</v>
      </c>
      <c r="D11" s="18" t="n">
        <f aca="false">ROUND('Hull Plating'!B5*1.5*$A11^1.75/5,0)*5</f>
        <v>1725</v>
      </c>
      <c r="E11" s="18" t="n">
        <f aca="false">ROUND('Tesla Coils'!B5*1.5*$A11^1.75/5,0)*5</f>
        <v>4140</v>
      </c>
      <c r="F11" s="18" t="n">
        <f aca="false">ROUND('Laser Arrays'!B5*1.5*$A11^1.75/5,0)*5</f>
        <v>2415</v>
      </c>
      <c r="G11" s="18" t="n">
        <f aca="false">ROUND('Salvage Vacuum'!B5*1.5*$A11^1.75/5,0)*5</f>
        <v>3105</v>
      </c>
      <c r="H11" s="18" t="n">
        <f aca="false">ROUND('Deadstick Pilot'!B5*1.5*$A11^1.75/5,0)*5</f>
        <v>3450</v>
      </c>
      <c r="I11" s="18" t="n">
        <f aca="false">ROUND('Pulse Emitter'!B5*1.5*$A11^1.75/5,0)*5</f>
        <v>2760</v>
      </c>
      <c r="J11" s="18" t="n">
        <f aca="false">ROUND('Gravity Well'!B5*1.5*$A11^1.75/5,0)*5</f>
        <v>3795</v>
      </c>
      <c r="K11" s="18" t="n">
        <f aca="false">ROUND(Hellstitch!B5*1.5*$A11^1.75/5,0)*5</f>
        <v>4485</v>
      </c>
      <c r="L11" s="18" t="n">
        <f aca="false">ROUND('Aegis Net'!B5*1.5*$A11^1.75/5,0)*5</f>
        <v>4140</v>
      </c>
    </row>
    <row r="12" customFormat="false" ht="15" hidden="false" customHeight="true" outlineLevel="0" collapsed="false">
      <c r="A12" s="16" t="n">
        <v>7</v>
      </c>
      <c r="B12" s="17" t="n">
        <f aca="false">ROUND('Missile Silos'!B5*1.5*$A12^1.75/5,0)*5</f>
        <v>2710</v>
      </c>
      <c r="C12" s="17" t="n">
        <f aca="false">ROUND('Ion Shield Nodes'!B5*1.5*$A12^1.75/5,0)*5</f>
        <v>2710</v>
      </c>
      <c r="D12" s="17" t="n">
        <f aca="false">ROUND('Hull Plating'!B5*1.5*$A12^1.75/5,0)*5</f>
        <v>2260</v>
      </c>
      <c r="E12" s="17" t="n">
        <f aca="false">ROUND('Tesla Coils'!B5*1.5*$A12^1.75/5,0)*5</f>
        <v>5420</v>
      </c>
      <c r="F12" s="17" t="n">
        <f aca="false">ROUND('Laser Arrays'!B5*1.5*$A12^1.75/5,0)*5</f>
        <v>3165</v>
      </c>
      <c r="G12" s="17" t="n">
        <f aca="false">ROUND('Salvage Vacuum'!B5*1.5*$A12^1.75/5,0)*5</f>
        <v>4065</v>
      </c>
      <c r="H12" s="17" t="n">
        <f aca="false">ROUND('Deadstick Pilot'!B5*1.5*$A12^1.75/5,0)*5</f>
        <v>4520</v>
      </c>
      <c r="I12" s="17" t="n">
        <f aca="false">ROUND('Pulse Emitter'!B5*1.5*$A12^1.75/5,0)*5</f>
        <v>3615</v>
      </c>
      <c r="J12" s="17" t="n">
        <f aca="false">ROUND('Gravity Well'!B5*1.5*$A12^1.75/5,0)*5</f>
        <v>4970</v>
      </c>
      <c r="K12" s="17" t="n">
        <f aca="false">ROUND(Hellstitch!B5*1.5*$A12^1.75/5,0)*5</f>
        <v>5875</v>
      </c>
      <c r="L12" s="17" t="n">
        <f aca="false">ROUND('Aegis Net'!B5*1.5*$A12^1.75/5,0)*5</f>
        <v>5420</v>
      </c>
    </row>
    <row r="13" customFormat="false" ht="15" hidden="false" customHeight="true" outlineLevel="0" collapsed="false">
      <c r="A13" s="16" t="n">
        <v>8</v>
      </c>
      <c r="B13" s="18" t="n">
        <f aca="false">ROUND('Missile Silos'!B5*1.5*$A13^1.75/5,0)*5</f>
        <v>3425</v>
      </c>
      <c r="C13" s="18" t="n">
        <f aca="false">ROUND('Ion Shield Nodes'!B5*1.5*$A13^1.75/5,0)*5</f>
        <v>3425</v>
      </c>
      <c r="D13" s="18" t="n">
        <f aca="false">ROUND('Hull Plating'!B5*1.5*$A13^1.75/5,0)*5</f>
        <v>2855</v>
      </c>
      <c r="E13" s="18" t="n">
        <f aca="false">ROUND('Tesla Coils'!B5*1.5*$A13^1.75/5,0)*5</f>
        <v>6850</v>
      </c>
      <c r="F13" s="18" t="n">
        <f aca="false">ROUND('Laser Arrays'!B5*1.5*$A13^1.75/5,0)*5</f>
        <v>3995</v>
      </c>
      <c r="G13" s="18" t="n">
        <f aca="false">ROUND('Salvage Vacuum'!B5*1.5*$A13^1.75/5,0)*5</f>
        <v>5135</v>
      </c>
      <c r="H13" s="18" t="n">
        <f aca="false">ROUND('Deadstick Pilot'!B5*1.5*$A13^1.75/5,0)*5</f>
        <v>5710</v>
      </c>
      <c r="I13" s="18" t="n">
        <f aca="false">ROUND('Pulse Emitter'!B5*1.5*$A13^1.75/5,0)*5</f>
        <v>4565</v>
      </c>
      <c r="J13" s="18" t="n">
        <f aca="false">ROUND('Gravity Well'!B5*1.5*$A13^1.75/5,0)*5</f>
        <v>6280</v>
      </c>
      <c r="K13" s="18" t="n">
        <f aca="false">ROUND(Hellstitch!B5*1.5*$A13^1.75/5,0)*5</f>
        <v>7420</v>
      </c>
      <c r="L13" s="18" t="n">
        <f aca="false">ROUND('Aegis Net'!B5*1.5*$A13^1.75/5,0)*5</f>
        <v>6850</v>
      </c>
    </row>
    <row r="14" customFormat="false" ht="15" hidden="false" customHeight="true" outlineLevel="0" collapsed="false">
      <c r="A14" s="16" t="n">
        <v>9</v>
      </c>
      <c r="B14" s="17" t="n">
        <f aca="false">ROUND('Missile Silos'!B5*1.5*$A14^1.75/5,0)*5</f>
        <v>4210</v>
      </c>
      <c r="C14" s="17" t="n">
        <f aca="false">ROUND('Ion Shield Nodes'!B5*1.5*$A14^1.75/5,0)*5</f>
        <v>4210</v>
      </c>
      <c r="D14" s="17" t="n">
        <f aca="false">ROUND('Hull Plating'!B5*1.5*$A14^1.75/5,0)*5</f>
        <v>3505</v>
      </c>
      <c r="E14" s="17" t="n">
        <f aca="false">ROUND('Tesla Coils'!B5*1.5*$A14^1.75/5,0)*5</f>
        <v>8420</v>
      </c>
      <c r="F14" s="17" t="n">
        <f aca="false">ROUND('Laser Arrays'!B5*1.5*$A14^1.75/5,0)*5</f>
        <v>4910</v>
      </c>
      <c r="G14" s="17" t="n">
        <f aca="false">ROUND('Salvage Vacuum'!B5*1.5*$A14^1.75/5,0)*5</f>
        <v>6315</v>
      </c>
      <c r="H14" s="17" t="n">
        <f aca="false">ROUND('Deadstick Pilot'!B5*1.5*$A14^1.75/5,0)*5</f>
        <v>7015</v>
      </c>
      <c r="I14" s="17" t="n">
        <f aca="false">ROUND('Pulse Emitter'!B5*1.5*$A14^1.75/5,0)*5</f>
        <v>5610</v>
      </c>
      <c r="J14" s="17" t="n">
        <f aca="false">ROUND('Gravity Well'!B5*1.5*$A14^1.75/5,0)*5</f>
        <v>7715</v>
      </c>
      <c r="K14" s="17" t="n">
        <f aca="false">ROUND(Hellstitch!B5*1.5*$A14^1.75/5,0)*5</f>
        <v>9120</v>
      </c>
      <c r="L14" s="17" t="n">
        <f aca="false">ROUND('Aegis Net'!B5*1.5*$A14^1.75/5,0)*5</f>
        <v>8420</v>
      </c>
    </row>
    <row r="15" customFormat="false" ht="15" hidden="false" customHeight="true" outlineLevel="0" collapsed="false">
      <c r="A15" s="16" t="n">
        <v>10</v>
      </c>
      <c r="B15" s="18" t="n">
        <f aca="false">ROUND('Missile Silos'!B5*1.5*$A15^1.75/5,0)*5</f>
        <v>5060</v>
      </c>
      <c r="C15" s="18" t="n">
        <f aca="false">ROUND('Ion Shield Nodes'!B5*1.5*$A15^1.75/5,0)*5</f>
        <v>5060</v>
      </c>
      <c r="D15" s="18" t="n">
        <f aca="false">ROUND('Hull Plating'!B5*1.5*$A15^1.75/5,0)*5</f>
        <v>4220</v>
      </c>
      <c r="E15" s="18" t="n">
        <f aca="false">ROUND('Tesla Coils'!B5*1.5*$A15^1.75/5,0)*5</f>
        <v>10120</v>
      </c>
      <c r="F15" s="18" t="n">
        <f aca="false">ROUND('Laser Arrays'!B5*1.5*$A15^1.75/5,0)*5</f>
        <v>5905</v>
      </c>
      <c r="G15" s="18" t="n">
        <f aca="false">ROUND('Salvage Vacuum'!B5*1.5*$A15^1.75/5,0)*5</f>
        <v>7590</v>
      </c>
      <c r="H15" s="18" t="n">
        <f aca="false">ROUND('Deadstick Pilot'!B5*1.5*$A15^1.75/5,0)*5</f>
        <v>8435</v>
      </c>
      <c r="I15" s="18" t="n">
        <f aca="false">ROUND('Pulse Emitter'!B5*1.5*$A15^1.75/5,0)*5</f>
        <v>6750</v>
      </c>
      <c r="J15" s="18" t="n">
        <f aca="false">ROUND('Gravity Well'!B5*1.5*$A15^1.75/5,0)*5</f>
        <v>9280</v>
      </c>
      <c r="K15" s="18" t="n">
        <f aca="false">ROUND(Hellstitch!B5*1.5*$A15^1.75/5,0)*5</f>
        <v>10965</v>
      </c>
      <c r="L15" s="18" t="n">
        <f aca="false">ROUND('Aegis Net'!B5*1.5*$A15^1.75/5,0)*5</f>
        <v>10120</v>
      </c>
    </row>
    <row r="16" customFormat="false" ht="15" hidden="false" customHeight="true" outlineLevel="0" collapsed="false">
      <c r="A16" s="19" t="s">
        <v>135</v>
      </c>
      <c r="B16" s="20" t="n">
        <f aca="false">SUM(B6:B15)</f>
        <v>21010</v>
      </c>
      <c r="C16" s="20" t="n">
        <f aca="false">SUM(C6:C15)</f>
        <v>21010</v>
      </c>
      <c r="D16" s="20" t="n">
        <f aca="false">SUM(D6:D15)</f>
        <v>17510</v>
      </c>
      <c r="E16" s="20" t="n">
        <f aca="false">SUM(E6:E15)</f>
        <v>42010</v>
      </c>
      <c r="F16" s="20" t="n">
        <f aca="false">SUM(F6:F15)</f>
        <v>24515</v>
      </c>
      <c r="G16" s="20" t="n">
        <f aca="false">SUM(G6:G15)</f>
        <v>31505</v>
      </c>
      <c r="H16" s="20" t="n">
        <f aca="false">SUM(H6:H15)</f>
        <v>37065</v>
      </c>
      <c r="I16" s="20" t="n">
        <f aca="false">SUM(I6:I15)</f>
        <v>28010</v>
      </c>
      <c r="J16" s="20" t="n">
        <f aca="false">SUM(J6:J15)</f>
        <v>38515</v>
      </c>
      <c r="K16" s="20" t="n">
        <f aca="false">SUM(K6:K15)</f>
        <v>45515</v>
      </c>
      <c r="L16" s="20" t="n">
        <f aca="false">SUM(L6:L15)</f>
        <v>42010</v>
      </c>
    </row>
    <row r="17" customFormat="false" ht="15" hidden="false" customHeight="true" outlineLevel="0" collapsed="false">
      <c r="A17" s="3" t="s">
        <v>136</v>
      </c>
    </row>
    <row r="19" customFormat="false" ht="15" hidden="false" customHeight="true" outlineLevel="0" collapsed="false">
      <c r="A19" s="6" t="s">
        <v>137</v>
      </c>
    </row>
    <row r="20" customFormat="false" ht="23.25" hidden="false" customHeight="true" outlineLevel="0" collapsed="false">
      <c r="A20" s="11" t="s">
        <v>138</v>
      </c>
      <c r="B20" s="11" t="s">
        <v>139</v>
      </c>
      <c r="C20" s="11" t="s">
        <v>140</v>
      </c>
      <c r="D20" s="11" t="s">
        <v>141</v>
      </c>
      <c r="E20" s="11" t="s">
        <v>142</v>
      </c>
      <c r="G20" s="21" t="s">
        <v>143</v>
      </c>
      <c r="H20" s="22" t="n">
        <v>250</v>
      </c>
    </row>
    <row r="21" customFormat="false" ht="15" hidden="false" customHeight="true" outlineLevel="0" collapsed="false">
      <c r="A21" s="16" t="n">
        <v>1</v>
      </c>
      <c r="B21" s="12" t="s">
        <v>144</v>
      </c>
      <c r="C21" s="14" t="n">
        <f aca="false">0</f>
        <v>0</v>
      </c>
      <c r="D21" s="14" t="n">
        <f aca="false">C21</f>
        <v>0</v>
      </c>
      <c r="E21" s="23" t="n">
        <f aca="false">MIN(10,$A21+1)</f>
        <v>2</v>
      </c>
      <c r="G21" s="3" t="s">
        <v>145</v>
      </c>
    </row>
    <row r="22" customFormat="false" ht="15" hidden="false" customHeight="true" outlineLevel="0" collapsed="false">
      <c r="A22" s="24" t="n">
        <v>2</v>
      </c>
      <c r="B22" s="13" t="s">
        <v>146</v>
      </c>
      <c r="C22" s="15" t="n">
        <f aca="false">ROUND($H$20*($A22-1)^1.7/5,0)*5</f>
        <v>250</v>
      </c>
      <c r="D22" s="15" t="n">
        <f aca="false">D21+C22</f>
        <v>250</v>
      </c>
      <c r="E22" s="25" t="n">
        <f aca="false">MIN(10,$A22+1)</f>
        <v>3</v>
      </c>
    </row>
    <row r="23" customFormat="false" ht="15" hidden="false" customHeight="true" outlineLevel="0" collapsed="false">
      <c r="A23" s="16" t="n">
        <v>3</v>
      </c>
      <c r="B23" s="12" t="s">
        <v>147</v>
      </c>
      <c r="C23" s="14" t="n">
        <f aca="false">ROUND($H$20*($A23-1)^1.7/5,0)*5</f>
        <v>810</v>
      </c>
      <c r="D23" s="14" t="n">
        <f aca="false">D22+C23</f>
        <v>1060</v>
      </c>
      <c r="E23" s="23" t="n">
        <f aca="false">MIN(10,$A23+1)</f>
        <v>4</v>
      </c>
    </row>
    <row r="24" customFormat="false" ht="15" hidden="false" customHeight="true" outlineLevel="0" collapsed="false">
      <c r="A24" s="24" t="n">
        <v>4</v>
      </c>
      <c r="B24" s="13" t="s">
        <v>148</v>
      </c>
      <c r="C24" s="15" t="n">
        <f aca="false">ROUND($H$20*($A24-1)^1.7/5,0)*5</f>
        <v>1620</v>
      </c>
      <c r="D24" s="15" t="n">
        <f aca="false">D23+C24</f>
        <v>2680</v>
      </c>
      <c r="E24" s="25" t="n">
        <f aca="false">MIN(10,$A24+1)</f>
        <v>5</v>
      </c>
    </row>
    <row r="25" customFormat="false" ht="15" hidden="false" customHeight="true" outlineLevel="0" collapsed="false">
      <c r="A25" s="16" t="n">
        <v>5</v>
      </c>
      <c r="B25" s="12" t="s">
        <v>149</v>
      </c>
      <c r="C25" s="14" t="n">
        <f aca="false">ROUND($H$20*($A25-1)^1.7/5,0)*5</f>
        <v>2640</v>
      </c>
      <c r="D25" s="14" t="n">
        <f aca="false">D24+C25</f>
        <v>5320</v>
      </c>
      <c r="E25" s="23" t="n">
        <f aca="false">MIN(10,$A25+1)</f>
        <v>6</v>
      </c>
    </row>
    <row r="26" customFormat="false" ht="15" hidden="false" customHeight="true" outlineLevel="0" collapsed="false">
      <c r="A26" s="24" t="n">
        <v>6</v>
      </c>
      <c r="B26" s="13" t="s">
        <v>150</v>
      </c>
      <c r="C26" s="15" t="n">
        <f aca="false">ROUND($H$20*($A26-1)^1.7/5,0)*5</f>
        <v>3855</v>
      </c>
      <c r="D26" s="15" t="n">
        <f aca="false">D25+C26</f>
        <v>9175</v>
      </c>
      <c r="E26" s="25" t="n">
        <f aca="false">MIN(10,$A26+1)</f>
        <v>7</v>
      </c>
    </row>
    <row r="27" customFormat="false" ht="15" hidden="false" customHeight="true" outlineLevel="0" collapsed="false">
      <c r="A27" s="16" t="n">
        <v>7</v>
      </c>
      <c r="B27" s="12" t="s">
        <v>151</v>
      </c>
      <c r="C27" s="14" t="n">
        <f aca="false">ROUND($H$20*($A27-1)^1.7/5,0)*5</f>
        <v>5260</v>
      </c>
      <c r="D27" s="14" t="n">
        <f aca="false">D26+C27</f>
        <v>14435</v>
      </c>
      <c r="E27" s="23" t="n">
        <f aca="false">MIN(10,$A27+1)</f>
        <v>8</v>
      </c>
    </row>
    <row r="28" customFormat="false" ht="23.25" hidden="false" customHeight="true" outlineLevel="0" collapsed="false">
      <c r="A28" s="24" t="n">
        <v>8</v>
      </c>
      <c r="B28" s="13" t="s">
        <v>152</v>
      </c>
      <c r="C28" s="15" t="n">
        <f aca="false">ROUND($H$20*($A28-1)^1.7/5,0)*5</f>
        <v>6835</v>
      </c>
      <c r="D28" s="15" t="n">
        <f aca="false">D27+C28</f>
        <v>21270</v>
      </c>
      <c r="E28" s="25" t="n">
        <f aca="false">MIN(10,$A28+1)</f>
        <v>9</v>
      </c>
    </row>
    <row r="29" customFormat="false" ht="15" hidden="false" customHeight="true" outlineLevel="0" collapsed="false">
      <c r="A29" s="16" t="n">
        <v>9</v>
      </c>
      <c r="B29" s="12" t="s">
        <v>153</v>
      </c>
      <c r="C29" s="14" t="n">
        <f aca="false">ROUND($H$20*($A29-1)^1.7/5,0)*5</f>
        <v>8575</v>
      </c>
      <c r="D29" s="14" t="n">
        <f aca="false">D28+C29</f>
        <v>29845</v>
      </c>
      <c r="E29" s="23" t="n">
        <f aca="false">MIN(10,$A29+1)</f>
        <v>10</v>
      </c>
    </row>
    <row r="30" customFormat="false" ht="15" hidden="false" customHeight="true" outlineLevel="0" collapsed="false">
      <c r="A30" s="21" t="s">
        <v>154</v>
      </c>
      <c r="D30" s="20" t="n">
        <f aca="false">SUM(B16:L16)+D29</f>
        <v>378520</v>
      </c>
    </row>
    <row r="31" customFormat="false" ht="15" hidden="false" customHeight="true" outlineLevel="0" collapsed="false">
      <c r="A31" s="3" t="s">
        <v>155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K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0" min="2" style="1" width="14"/>
    <col collapsed="false" customWidth="true" hidden="false" outlineLevel="0" max="11" min="11" style="1" width="62"/>
  </cols>
  <sheetData>
    <row r="1" customFormat="false" ht="21.75" hidden="false" customHeight="true" outlineLevel="0" collapsed="false">
      <c r="A1" s="2" t="s">
        <v>156</v>
      </c>
    </row>
    <row r="2" customFormat="false" ht="15" hidden="false" customHeight="true" outlineLevel="0" collapsed="false">
      <c r="A2" s="3" t="s">
        <v>157</v>
      </c>
    </row>
    <row r="4" customFormat="false" ht="15" hidden="false" customHeight="true" outlineLevel="0" collapsed="false">
      <c r="A4" s="6" t="s">
        <v>158</v>
      </c>
    </row>
    <row r="5" customFormat="false" ht="15" hidden="false" customHeight="true" outlineLevel="0" collapsed="false">
      <c r="A5" s="12" t="s">
        <v>159</v>
      </c>
      <c r="B5" s="22" t="n">
        <v>60</v>
      </c>
      <c r="C5" s="3" t="s">
        <v>160</v>
      </c>
    </row>
    <row r="6" customFormat="false" ht="15" hidden="false" customHeight="true" outlineLevel="0" collapsed="false">
      <c r="A6" s="12" t="s">
        <v>161</v>
      </c>
      <c r="B6" s="26" t="n">
        <v>6</v>
      </c>
      <c r="C6" s="3" t="s">
        <v>162</v>
      </c>
    </row>
    <row r="7" customFormat="false" ht="15" hidden="false" customHeight="true" outlineLevel="0" collapsed="false">
      <c r="A7" s="12" t="s">
        <v>163</v>
      </c>
      <c r="B7" s="26" t="n">
        <v>1</v>
      </c>
    </row>
    <row r="8" customFormat="false" ht="15" hidden="false" customHeight="true" outlineLevel="0" collapsed="false">
      <c r="A8" s="12" t="s">
        <v>164</v>
      </c>
      <c r="B8" s="26" t="n">
        <v>7</v>
      </c>
      <c r="C8" s="3" t="s">
        <v>165</v>
      </c>
    </row>
    <row r="9" customFormat="false" ht="15" hidden="false" customHeight="true" outlineLevel="0" collapsed="false">
      <c r="A9" s="12" t="s">
        <v>166</v>
      </c>
      <c r="B9" s="27" t="n">
        <v>0.04</v>
      </c>
      <c r="C9" s="3" t="s">
        <v>167</v>
      </c>
    </row>
    <row r="10" customFormat="false" ht="15" hidden="false" customHeight="true" outlineLevel="0" collapsed="false">
      <c r="A10" s="12" t="s">
        <v>168</v>
      </c>
      <c r="B10" s="26" t="n">
        <v>3</v>
      </c>
      <c r="C10" s="3" t="s">
        <v>169</v>
      </c>
    </row>
    <row r="11" customFormat="false" ht="15" hidden="false" customHeight="true" outlineLevel="0" collapsed="false">
      <c r="A11" s="12" t="s">
        <v>170</v>
      </c>
      <c r="B11" s="26" t="n">
        <v>4</v>
      </c>
      <c r="C11" s="3" t="s">
        <v>171</v>
      </c>
    </row>
    <row r="13" customFormat="false" ht="15" hidden="false" customHeight="true" outlineLevel="0" collapsed="false">
      <c r="A13" s="6" t="s">
        <v>172</v>
      </c>
    </row>
    <row r="14" customFormat="false" ht="42" hidden="false" customHeight="true" outlineLevel="0" collapsed="false">
      <c r="A14" s="11" t="s">
        <v>131</v>
      </c>
      <c r="B14" s="11" t="s">
        <v>173</v>
      </c>
      <c r="C14" s="11" t="s">
        <v>174</v>
      </c>
      <c r="D14" s="11" t="s">
        <v>141</v>
      </c>
      <c r="E14" s="11" t="s">
        <v>175</v>
      </c>
      <c r="F14" s="11" t="s">
        <v>176</v>
      </c>
      <c r="G14" s="11" t="s">
        <v>177</v>
      </c>
      <c r="H14" s="11" t="s">
        <v>178</v>
      </c>
      <c r="I14" s="11" t="s">
        <v>179</v>
      </c>
      <c r="J14" s="11" t="s">
        <v>180</v>
      </c>
      <c r="K14" s="11" t="s">
        <v>181</v>
      </c>
    </row>
    <row r="15" customFormat="false" ht="15" hidden="false" customHeight="true" outlineLevel="0" collapsed="false">
      <c r="A15" s="16" t="n">
        <v>0</v>
      </c>
      <c r="B15" s="12" t="str">
        <f aca="false">IF($A15=0,"Uninstalled",IF($A15&lt;=3,"Initiated",IF($A15&lt;=6,"Masterwork",IF($A15&lt;=9,"Mythic","Legendary"))))</f>
        <v>Uninstalled</v>
      </c>
      <c r="C15" s="14"/>
      <c r="D15" s="14" t="n">
        <f aca="false">0</f>
        <v>0</v>
      </c>
      <c r="E15" s="28" t="n">
        <f aca="false">$B$6+$B$7*$A15</f>
        <v>6</v>
      </c>
      <c r="F15" s="29" t="n">
        <f aca="false">$B$8*(1-$B$9*$A15)</f>
        <v>7</v>
      </c>
      <c r="G15" s="28" t="n">
        <f aca="false">IF($A15&gt;=3,$B$11,$B$10)</f>
        <v>3</v>
      </c>
      <c r="H15" s="30" t="n">
        <f aca="false">IF($A15&gt;=6,1.4,1)</f>
        <v>1</v>
      </c>
      <c r="I15" s="28" t="n">
        <f aca="false">E15*G15</f>
        <v>18</v>
      </c>
      <c r="J15" s="31" t="n">
        <f aca="false">I15/F15</f>
        <v>2.57142857142857</v>
      </c>
      <c r="K15" s="12"/>
    </row>
    <row r="16" customFormat="false" ht="15" hidden="false" customHeight="true" outlineLevel="0" collapsed="false">
      <c r="A16" s="24" t="n">
        <v>1</v>
      </c>
      <c r="B16" s="13" t="str">
        <f aca="false">IF($A16=0,"Uninstalled",IF($A16&lt;=3,"Initiated",IF($A16&lt;=6,"Masterwork",IF($A16&lt;=9,"Mythic","Legendary"))))</f>
        <v>Initiated</v>
      </c>
      <c r="C16" s="15" t="n">
        <f aca="false">ROUND($B$5*1.5*$A16^1.75/5,0)*5</f>
        <v>90</v>
      </c>
      <c r="D16" s="15" t="n">
        <f aca="false">D15+C16</f>
        <v>90</v>
      </c>
      <c r="E16" s="32" t="n">
        <f aca="false">$B$6+$B$7*$A16</f>
        <v>7</v>
      </c>
      <c r="F16" s="33" t="n">
        <f aca="false">$B$8*(1-$B$9*$A16)</f>
        <v>6.72</v>
      </c>
      <c r="G16" s="32" t="n">
        <f aca="false">IF($A16&gt;=3,$B$11,$B$10)</f>
        <v>3</v>
      </c>
      <c r="H16" s="34" t="n">
        <f aca="false">IF($A16&gt;=6,1.4,1)</f>
        <v>1</v>
      </c>
      <c r="I16" s="32" t="n">
        <f aca="false">E16*G16</f>
        <v>21</v>
      </c>
      <c r="J16" s="35" t="n">
        <f aca="false">I16/F16</f>
        <v>3.125</v>
      </c>
      <c r="K16" s="13"/>
    </row>
    <row r="17" customFormat="false" ht="15" hidden="false" customHeight="true" outlineLevel="0" collapsed="false">
      <c r="A17" s="16" t="n">
        <v>2</v>
      </c>
      <c r="B17" s="12" t="str">
        <f aca="false">IF($A17=0,"Uninstalled",IF($A17&lt;=3,"Initiated",IF($A17&lt;=6,"Masterwork",IF($A17&lt;=9,"Mythic","Legendary"))))</f>
        <v>Initiated</v>
      </c>
      <c r="C17" s="14" t="n">
        <f aca="false">ROUND($B$5*1.5*$A17^1.75/5,0)*5</f>
        <v>305</v>
      </c>
      <c r="D17" s="14" t="n">
        <f aca="false">D16+C17</f>
        <v>395</v>
      </c>
      <c r="E17" s="28" t="n">
        <f aca="false">$B$6+$B$7*$A17</f>
        <v>8</v>
      </c>
      <c r="F17" s="29" t="n">
        <f aca="false">$B$8*(1-$B$9*$A17)</f>
        <v>6.44</v>
      </c>
      <c r="G17" s="28" t="n">
        <f aca="false">IF($A17&gt;=3,$B$11,$B$10)</f>
        <v>3</v>
      </c>
      <c r="H17" s="30" t="n">
        <f aca="false">IF($A17&gt;=6,1.4,1)</f>
        <v>1</v>
      </c>
      <c r="I17" s="28" t="n">
        <f aca="false">E17*G17</f>
        <v>24</v>
      </c>
      <c r="J17" s="31" t="n">
        <f aca="false">I17/F17</f>
        <v>3.72670807453416</v>
      </c>
      <c r="K17" s="12"/>
    </row>
    <row r="18" customFormat="false" ht="15" hidden="false" customHeight="true" outlineLevel="0" collapsed="false">
      <c r="A18" s="24" t="n">
        <v>3</v>
      </c>
      <c r="B18" s="13" t="str">
        <f aca="false">IF($A18=0,"Uninstalled",IF($A18&lt;=3,"Initiated",IF($A18&lt;=6,"Masterwork",IF($A18&lt;=9,"Mythic","Legendary"))))</f>
        <v>Initiated</v>
      </c>
      <c r="C18" s="15" t="n">
        <f aca="false">ROUND($B$5*1.5*$A18^1.75/5,0)*5</f>
        <v>615</v>
      </c>
      <c r="D18" s="15" t="n">
        <f aca="false">D17+C18</f>
        <v>1010</v>
      </c>
      <c r="E18" s="32" t="n">
        <f aca="false">$B$6+$B$7*$A18</f>
        <v>9</v>
      </c>
      <c r="F18" s="33" t="n">
        <f aca="false">$B$8*(1-$B$9*$A18)</f>
        <v>6.16</v>
      </c>
      <c r="G18" s="32" t="n">
        <f aca="false">IF($A18&gt;=3,$B$11,$B$10)</f>
        <v>4</v>
      </c>
      <c r="H18" s="34" t="n">
        <f aca="false">IF($A18&gt;=6,1.4,1)</f>
        <v>1</v>
      </c>
      <c r="I18" s="32" t="n">
        <f aca="false">E18*G18</f>
        <v>36</v>
      </c>
      <c r="J18" s="35" t="n">
        <f aca="false">I18/F18</f>
        <v>5.84415584415584</v>
      </c>
      <c r="K18" s="13" t="s">
        <v>182</v>
      </c>
    </row>
    <row r="19" customFormat="false" ht="15" hidden="false" customHeight="true" outlineLevel="0" collapsed="false">
      <c r="A19" s="16" t="n">
        <v>4</v>
      </c>
      <c r="B19" s="12" t="str">
        <f aca="false">IF($A19=0,"Uninstalled",IF($A19&lt;=3,"Initiated",IF($A19&lt;=6,"Masterwork",IF($A19&lt;=9,"Mythic","Legendary"))))</f>
        <v>Masterwork</v>
      </c>
      <c r="C19" s="14" t="n">
        <f aca="false">ROUND($B$5*1.5*$A19^1.75/5,0)*5</f>
        <v>1020</v>
      </c>
      <c r="D19" s="14" t="n">
        <f aca="false">D18+C19</f>
        <v>2030</v>
      </c>
      <c r="E19" s="28" t="n">
        <f aca="false">$B$6+$B$7*$A19</f>
        <v>10</v>
      </c>
      <c r="F19" s="29" t="n">
        <f aca="false">$B$8*(1-$B$9*$A19)</f>
        <v>5.88</v>
      </c>
      <c r="G19" s="28" t="n">
        <f aca="false">IF($A19&gt;=3,$B$11,$B$10)</f>
        <v>4</v>
      </c>
      <c r="H19" s="30" t="n">
        <f aca="false">IF($A19&gt;=6,1.4,1)</f>
        <v>1</v>
      </c>
      <c r="I19" s="28" t="n">
        <f aca="false">E19*G19</f>
        <v>40</v>
      </c>
      <c r="J19" s="31" t="n">
        <f aca="false">I19/F19</f>
        <v>6.80272108843538</v>
      </c>
      <c r="K19" s="12"/>
    </row>
    <row r="20" customFormat="false" ht="15" hidden="false" customHeight="true" outlineLevel="0" collapsed="false">
      <c r="A20" s="24" t="n">
        <v>5</v>
      </c>
      <c r="B20" s="13" t="str">
        <f aca="false">IF($A20=0,"Uninstalled",IF($A20&lt;=3,"Initiated",IF($A20&lt;=6,"Masterwork",IF($A20&lt;=9,"Mythic","Legendary"))))</f>
        <v>Masterwork</v>
      </c>
      <c r="C20" s="15" t="n">
        <f aca="false">ROUND($B$5*1.5*$A20^1.75/5,0)*5</f>
        <v>1505</v>
      </c>
      <c r="D20" s="15" t="n">
        <f aca="false">D19+C20</f>
        <v>3535</v>
      </c>
      <c r="E20" s="32" t="n">
        <f aca="false">$B$6+$B$7*$A20</f>
        <v>11</v>
      </c>
      <c r="F20" s="33" t="n">
        <f aca="false">$B$8*(1-$B$9*$A20)</f>
        <v>5.6</v>
      </c>
      <c r="G20" s="32" t="n">
        <f aca="false">IF($A20&gt;=3,$B$11,$B$10)</f>
        <v>4</v>
      </c>
      <c r="H20" s="34" t="n">
        <f aca="false">IF($A20&gt;=6,1.4,1)</f>
        <v>1</v>
      </c>
      <c r="I20" s="32" t="n">
        <f aca="false">E20*G20</f>
        <v>44</v>
      </c>
      <c r="J20" s="35" t="n">
        <f aca="false">I20/F20</f>
        <v>7.85714285714286</v>
      </c>
      <c r="K20" s="13" t="s">
        <v>183</v>
      </c>
    </row>
    <row r="21" customFormat="false" ht="15" hidden="false" customHeight="true" outlineLevel="0" collapsed="false">
      <c r="A21" s="16" t="n">
        <v>6</v>
      </c>
      <c r="B21" s="12" t="str">
        <f aca="false">IF($A21=0,"Uninstalled",IF($A21&lt;=3,"Initiated",IF($A21&lt;=6,"Masterwork",IF($A21&lt;=9,"Mythic","Legendary"))))</f>
        <v>Masterwork</v>
      </c>
      <c r="C21" s="14" t="n">
        <f aca="false">ROUND($B$5*1.5*$A21^1.75/5,0)*5</f>
        <v>2070</v>
      </c>
      <c r="D21" s="14" t="n">
        <f aca="false">D20+C21</f>
        <v>5605</v>
      </c>
      <c r="E21" s="28" t="n">
        <f aca="false">$B$6+$B$7*$A21</f>
        <v>12</v>
      </c>
      <c r="F21" s="29" t="n">
        <f aca="false">$B$8*(1-$B$9*$A21)</f>
        <v>5.32</v>
      </c>
      <c r="G21" s="28" t="n">
        <f aca="false">IF($A21&gt;=3,$B$11,$B$10)</f>
        <v>4</v>
      </c>
      <c r="H21" s="30" t="n">
        <f aca="false">IF($A21&gt;=6,1.4,1)</f>
        <v>1.4</v>
      </c>
      <c r="I21" s="28" t="n">
        <f aca="false">E21*G21</f>
        <v>48</v>
      </c>
      <c r="J21" s="31" t="n">
        <f aca="false">I21/F21</f>
        <v>9.02255639097744</v>
      </c>
      <c r="K21" s="12" t="s">
        <v>184</v>
      </c>
    </row>
    <row r="22" customFormat="false" ht="15" hidden="false" customHeight="true" outlineLevel="0" collapsed="false">
      <c r="A22" s="24" t="n">
        <v>7</v>
      </c>
      <c r="B22" s="13" t="str">
        <f aca="false">IF($A22=0,"Uninstalled",IF($A22&lt;=3,"Initiated",IF($A22&lt;=6,"Masterwork",IF($A22&lt;=9,"Mythic","Legendary"))))</f>
        <v>Mythic</v>
      </c>
      <c r="C22" s="15" t="n">
        <f aca="false">ROUND($B$5*1.5*$A22^1.75/5,0)*5</f>
        <v>2710</v>
      </c>
      <c r="D22" s="15" t="n">
        <f aca="false">D21+C22</f>
        <v>8315</v>
      </c>
      <c r="E22" s="32" t="n">
        <f aca="false">$B$6+$B$7*$A22</f>
        <v>13</v>
      </c>
      <c r="F22" s="33" t="n">
        <f aca="false">$B$8*(1-$B$9*$A22)</f>
        <v>5.04</v>
      </c>
      <c r="G22" s="32" t="n">
        <f aca="false">IF($A22&gt;=3,$B$11,$B$10)</f>
        <v>4</v>
      </c>
      <c r="H22" s="34" t="n">
        <f aca="false">IF($A22&gt;=6,1.4,1)</f>
        <v>1.4</v>
      </c>
      <c r="I22" s="32" t="n">
        <f aca="false">E22*G22</f>
        <v>52</v>
      </c>
      <c r="J22" s="35" t="n">
        <f aca="false">I22/F22</f>
        <v>10.3174603174603</v>
      </c>
      <c r="K22" s="13"/>
    </row>
    <row r="23" customFormat="false" ht="15" hidden="false" customHeight="true" outlineLevel="0" collapsed="false">
      <c r="A23" s="16" t="n">
        <v>8</v>
      </c>
      <c r="B23" s="12" t="str">
        <f aca="false">IF($A23=0,"Uninstalled",IF($A23&lt;=3,"Initiated",IF($A23&lt;=6,"Masterwork",IF($A23&lt;=9,"Mythic","Legendary"))))</f>
        <v>Mythic</v>
      </c>
      <c r="C23" s="14" t="n">
        <f aca="false">ROUND($B$5*1.5*$A23^1.75/5,0)*5</f>
        <v>3425</v>
      </c>
      <c r="D23" s="14" t="n">
        <f aca="false">D22+C23</f>
        <v>11740</v>
      </c>
      <c r="E23" s="28" t="n">
        <f aca="false">$B$6+$B$7*$A23</f>
        <v>14</v>
      </c>
      <c r="F23" s="29" t="n">
        <f aca="false">$B$8*(1-$B$9*$A23)</f>
        <v>4.76</v>
      </c>
      <c r="G23" s="28" t="n">
        <f aca="false">IF($A23&gt;=3,$B$11,$B$10)</f>
        <v>4</v>
      </c>
      <c r="H23" s="30" t="n">
        <f aca="false">IF($A23&gt;=6,1.4,1)</f>
        <v>1.4</v>
      </c>
      <c r="I23" s="28" t="n">
        <f aca="false">E23*G23</f>
        <v>56</v>
      </c>
      <c r="J23" s="31" t="n">
        <f aca="false">I23/F23</f>
        <v>11.7647058823529</v>
      </c>
      <c r="K23" s="12"/>
    </row>
    <row r="24" customFormat="false" ht="15" hidden="false" customHeight="true" outlineLevel="0" collapsed="false">
      <c r="A24" s="24" t="n">
        <v>9</v>
      </c>
      <c r="B24" s="13" t="str">
        <f aca="false">IF($A24=0,"Uninstalled",IF($A24&lt;=3,"Initiated",IF($A24&lt;=6,"Masterwork",IF($A24&lt;=9,"Mythic","Legendary"))))</f>
        <v>Mythic</v>
      </c>
      <c r="C24" s="15" t="n">
        <f aca="false">ROUND($B$5*1.5*$A24^1.75/5,0)*5</f>
        <v>4210</v>
      </c>
      <c r="D24" s="15" t="n">
        <f aca="false">D23+C24</f>
        <v>15950</v>
      </c>
      <c r="E24" s="32" t="n">
        <f aca="false">$B$6+$B$7*$A24</f>
        <v>15</v>
      </c>
      <c r="F24" s="33" t="n">
        <f aca="false">$B$8*(1-$B$9*$A24)</f>
        <v>4.48</v>
      </c>
      <c r="G24" s="32" t="n">
        <f aca="false">IF($A24&gt;=3,$B$11,$B$10)</f>
        <v>4</v>
      </c>
      <c r="H24" s="34" t="n">
        <f aca="false">IF($A24&gt;=6,1.4,1)</f>
        <v>1.4</v>
      </c>
      <c r="I24" s="32" t="n">
        <f aca="false">E24*G24</f>
        <v>60</v>
      </c>
      <c r="J24" s="35" t="n">
        <f aca="false">I24/F24</f>
        <v>13.3928571428571</v>
      </c>
      <c r="K24" s="13" t="s">
        <v>185</v>
      </c>
    </row>
    <row r="25" customFormat="false" ht="23.25" hidden="false" customHeight="true" outlineLevel="0" collapsed="false">
      <c r="A25" s="16" t="n">
        <v>10</v>
      </c>
      <c r="B25" s="12" t="str">
        <f aca="false">IF($A25=0,"Uninstalled",IF($A25&lt;=3,"Initiated",IF($A25&lt;=6,"Masterwork",IF($A25&lt;=9,"Mythic","Legendary"))))</f>
        <v>Legendary</v>
      </c>
      <c r="C25" s="14" t="n">
        <f aca="false">ROUND($B$5*1.5*$A25^1.75/5,0)*5</f>
        <v>5060</v>
      </c>
      <c r="D25" s="14" t="n">
        <f aca="false">D24+C25</f>
        <v>21010</v>
      </c>
      <c r="E25" s="28" t="n">
        <f aca="false">$B$6+$B$7*$A25</f>
        <v>16</v>
      </c>
      <c r="F25" s="29" t="n">
        <f aca="false">$B$8*(1-$B$9*$A25)</f>
        <v>4.2</v>
      </c>
      <c r="G25" s="28" t="n">
        <f aca="false">IF($A25&gt;=3,$B$11,$B$10)</f>
        <v>4</v>
      </c>
      <c r="H25" s="30" t="n">
        <f aca="false">IF($A25&gt;=6,1.4,1)</f>
        <v>1.4</v>
      </c>
      <c r="I25" s="28" t="n">
        <f aca="false">E25*G25</f>
        <v>64</v>
      </c>
      <c r="J25" s="31" t="n">
        <f aca="false">I25/F25</f>
        <v>15.2380952380952</v>
      </c>
      <c r="K25" s="12" t="s">
        <v>186</v>
      </c>
    </row>
    <row r="27" customFormat="false" ht="15" hidden="false" customHeight="true" outlineLevel="0" collapsed="false">
      <c r="A27"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2" topLeftCell="B13" activePane="bottomRight" state="frozen"/>
      <selection pane="topLeft" activeCell="A1" activeCellId="0" sqref="A1"/>
      <selection pane="topRight" activeCell="B1" activeCellId="0" sqref="B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8" min="2" style="1" width="14"/>
    <col collapsed="false" customWidth="true" hidden="false" outlineLevel="0" max="9" min="9" style="1" width="62"/>
  </cols>
  <sheetData>
    <row r="1" customFormat="false" ht="21.75" hidden="false" customHeight="true" outlineLevel="0" collapsed="false">
      <c r="A1" s="2" t="s">
        <v>187</v>
      </c>
    </row>
    <row r="2" customFormat="false" ht="15" hidden="false" customHeight="true" outlineLevel="0" collapsed="false">
      <c r="A2" s="3" t="s">
        <v>188</v>
      </c>
    </row>
    <row r="4" customFormat="false" ht="15" hidden="false" customHeight="true" outlineLevel="0" collapsed="false">
      <c r="A4" s="6" t="s">
        <v>158</v>
      </c>
    </row>
    <row r="5" customFormat="false" ht="15" hidden="false" customHeight="true" outlineLevel="0" collapsed="false">
      <c r="A5" s="12" t="s">
        <v>159</v>
      </c>
      <c r="B5" s="22" t="n">
        <v>60</v>
      </c>
      <c r="C5" s="3" t="s">
        <v>160</v>
      </c>
    </row>
    <row r="6" customFormat="false" ht="15" hidden="false" customHeight="true" outlineLevel="0" collapsed="false">
      <c r="A6" s="12" t="s">
        <v>189</v>
      </c>
      <c r="B6" s="26" t="n">
        <v>5</v>
      </c>
      <c r="C6" s="3" t="s">
        <v>190</v>
      </c>
    </row>
    <row r="7" customFormat="false" ht="15" hidden="false" customHeight="true" outlineLevel="0" collapsed="false">
      <c r="A7" s="12" t="s">
        <v>191</v>
      </c>
      <c r="B7" s="26" t="n">
        <v>5</v>
      </c>
      <c r="C7" s="3" t="s">
        <v>192</v>
      </c>
    </row>
    <row r="8" customFormat="false" ht="15" hidden="false" customHeight="true" outlineLevel="0" collapsed="false">
      <c r="A8" s="12" t="s">
        <v>193</v>
      </c>
      <c r="B8" s="27" t="n">
        <v>0.06</v>
      </c>
    </row>
    <row r="9" customFormat="false" ht="15" hidden="false" customHeight="true" outlineLevel="0" collapsed="false">
      <c r="A9" s="12" t="s">
        <v>138</v>
      </c>
      <c r="B9" s="26" t="n">
        <v>1</v>
      </c>
      <c r="C9" s="3" t="s">
        <v>194</v>
      </c>
    </row>
    <row r="11" customFormat="false" ht="15" hidden="false" customHeight="true" outlineLevel="0" collapsed="false">
      <c r="A11" s="6" t="s">
        <v>172</v>
      </c>
    </row>
    <row r="12" customFormat="false" ht="42" hidden="false" customHeight="true" outlineLevel="0" collapsed="false">
      <c r="A12" s="11" t="s">
        <v>131</v>
      </c>
      <c r="B12" s="11" t="s">
        <v>173</v>
      </c>
      <c r="C12" s="11" t="s">
        <v>174</v>
      </c>
      <c r="D12" s="11" t="s">
        <v>141</v>
      </c>
      <c r="E12" s="11" t="s">
        <v>195</v>
      </c>
      <c r="F12" s="11" t="s">
        <v>196</v>
      </c>
      <c r="G12" s="11" t="s">
        <v>197</v>
      </c>
      <c r="H12" s="11" t="s">
        <v>198</v>
      </c>
      <c r="I12" s="11" t="s">
        <v>181</v>
      </c>
    </row>
    <row r="13" customFormat="false" ht="15" hidden="false" customHeight="true" outlineLevel="0" collapsed="false">
      <c r="A13" s="16" t="n">
        <v>0</v>
      </c>
      <c r="B13" s="12" t="str">
        <f aca="false">IF($A13=0,"Uninstalled",IF($A13&lt;=3,"Initiated",IF($A13&lt;=6,"Masterwork",IF($A13&lt;=9,"Mythic","Legendary"))))</f>
        <v>Uninstalled</v>
      </c>
      <c r="C13" s="14"/>
      <c r="D13" s="14" t="n">
        <f aca="false">0</f>
        <v>0</v>
      </c>
      <c r="E13" s="28" t="n">
        <f aca="false">$B$6+$A13+IF($A13&gt;=3,1,0)+INT(($B$9-1)/3)</f>
        <v>5</v>
      </c>
      <c r="F13" s="29" t="n">
        <f aca="false">$B$7*(1-$B$8*$A13)</f>
        <v>5</v>
      </c>
      <c r="G13" s="31" t="n">
        <f aca="false">60/F13</f>
        <v>12</v>
      </c>
      <c r="H13" s="31" t="n">
        <f aca="false">E13*F13</f>
        <v>25</v>
      </c>
      <c r="I13" s="12"/>
    </row>
    <row r="14" customFormat="false" ht="15" hidden="false" customHeight="true" outlineLevel="0" collapsed="false">
      <c r="A14" s="24" t="n">
        <v>1</v>
      </c>
      <c r="B14" s="13" t="str">
        <f aca="false">IF($A14=0,"Uninstalled",IF($A14&lt;=3,"Initiated",IF($A14&lt;=6,"Masterwork",IF($A14&lt;=9,"Mythic","Legendary"))))</f>
        <v>Initiated</v>
      </c>
      <c r="C14" s="15" t="n">
        <f aca="false">ROUND($B$5*1.5*$A14^1.75/5,0)*5</f>
        <v>90</v>
      </c>
      <c r="D14" s="15" t="n">
        <f aca="false">D13+C14</f>
        <v>90</v>
      </c>
      <c r="E14" s="32" t="n">
        <f aca="false">$B$6+$A14+IF($A14&gt;=3,1,0)+INT(($B$9-1)/3)</f>
        <v>6</v>
      </c>
      <c r="F14" s="33" t="n">
        <f aca="false">$B$7*(1-$B$8*$A14)</f>
        <v>4.7</v>
      </c>
      <c r="G14" s="35" t="n">
        <f aca="false">60/F14</f>
        <v>12.7659574468085</v>
      </c>
      <c r="H14" s="35" t="n">
        <f aca="false">E14*F14</f>
        <v>28.2</v>
      </c>
      <c r="I14" s="13"/>
    </row>
    <row r="15" customFormat="false" ht="15" hidden="false" customHeight="true" outlineLevel="0" collapsed="false">
      <c r="A15" s="16" t="n">
        <v>2</v>
      </c>
      <c r="B15" s="12" t="str">
        <f aca="false">IF($A15=0,"Uninstalled",IF($A15&lt;=3,"Initiated",IF($A15&lt;=6,"Masterwork",IF($A15&lt;=9,"Mythic","Legendary"))))</f>
        <v>Initiated</v>
      </c>
      <c r="C15" s="14" t="n">
        <f aca="false">ROUND($B$5*1.5*$A15^1.75/5,0)*5</f>
        <v>305</v>
      </c>
      <c r="D15" s="14" t="n">
        <f aca="false">D14+C15</f>
        <v>395</v>
      </c>
      <c r="E15" s="28" t="n">
        <f aca="false">$B$6+$A15+IF($A15&gt;=3,1,0)+INT(($B$9-1)/3)</f>
        <v>7</v>
      </c>
      <c r="F15" s="29" t="n">
        <f aca="false">$B$7*(1-$B$8*$A15)</f>
        <v>4.4</v>
      </c>
      <c r="G15" s="31" t="n">
        <f aca="false">60/F15</f>
        <v>13.6363636363636</v>
      </c>
      <c r="H15" s="31" t="n">
        <f aca="false">E15*F15</f>
        <v>30.8</v>
      </c>
      <c r="I15" s="12"/>
    </row>
    <row r="16" customFormat="false" ht="15" hidden="false" customHeight="true" outlineLevel="0" collapsed="false">
      <c r="A16" s="24" t="n">
        <v>3</v>
      </c>
      <c r="B16" s="13" t="str">
        <f aca="false">IF($A16=0,"Uninstalled",IF($A16&lt;=3,"Initiated",IF($A16&lt;=6,"Masterwork",IF($A16&lt;=9,"Mythic","Legendary"))))</f>
        <v>Initiated</v>
      </c>
      <c r="C16" s="15" t="n">
        <f aca="false">ROUND($B$5*1.5*$A16^1.75/5,0)*5</f>
        <v>615</v>
      </c>
      <c r="D16" s="15" t="n">
        <f aca="false">D15+C16</f>
        <v>1010</v>
      </c>
      <c r="E16" s="32" t="n">
        <f aca="false">$B$6+$A16+IF($A16&gt;=3,1,0)+INT(($B$9-1)/3)</f>
        <v>9</v>
      </c>
      <c r="F16" s="33" t="n">
        <f aca="false">$B$7*(1-$B$8*$A16)</f>
        <v>4.1</v>
      </c>
      <c r="G16" s="35" t="n">
        <f aca="false">60/F16</f>
        <v>14.6341463414634</v>
      </c>
      <c r="H16" s="35" t="n">
        <f aca="false">E16*F16</f>
        <v>36.9</v>
      </c>
      <c r="I16" s="13" t="s">
        <v>199</v>
      </c>
    </row>
    <row r="17" customFormat="false" ht="15" hidden="false" customHeight="true" outlineLevel="0" collapsed="false">
      <c r="A17" s="16" t="n">
        <v>4</v>
      </c>
      <c r="B17" s="12" t="str">
        <f aca="false">IF($A17=0,"Uninstalled",IF($A17&lt;=3,"Initiated",IF($A17&lt;=6,"Masterwork",IF($A17&lt;=9,"Mythic","Legendary"))))</f>
        <v>Masterwork</v>
      </c>
      <c r="C17" s="14" t="n">
        <f aca="false">ROUND($B$5*1.5*$A17^1.75/5,0)*5</f>
        <v>1020</v>
      </c>
      <c r="D17" s="14" t="n">
        <f aca="false">D16+C17</f>
        <v>2030</v>
      </c>
      <c r="E17" s="28" t="n">
        <f aca="false">$B$6+$A17+IF($A17&gt;=3,1,0)+INT(($B$9-1)/3)</f>
        <v>10</v>
      </c>
      <c r="F17" s="29" t="n">
        <f aca="false">$B$7*(1-$B$8*$A17)</f>
        <v>3.8</v>
      </c>
      <c r="G17" s="31" t="n">
        <f aca="false">60/F17</f>
        <v>15.7894736842105</v>
      </c>
      <c r="H17" s="31" t="n">
        <f aca="false">E17*F17</f>
        <v>38</v>
      </c>
      <c r="I17" s="12"/>
    </row>
    <row r="18" customFormat="false" ht="15" hidden="false" customHeight="true" outlineLevel="0" collapsed="false">
      <c r="A18" s="24" t="n">
        <v>5</v>
      </c>
      <c r="B18" s="13" t="str">
        <f aca="false">IF($A18=0,"Uninstalled",IF($A18&lt;=3,"Initiated",IF($A18&lt;=6,"Masterwork",IF($A18&lt;=9,"Mythic","Legendary"))))</f>
        <v>Masterwork</v>
      </c>
      <c r="C18" s="15" t="n">
        <f aca="false">ROUND($B$5*1.5*$A18^1.75/5,0)*5</f>
        <v>1505</v>
      </c>
      <c r="D18" s="15" t="n">
        <f aca="false">D17+C18</f>
        <v>3535</v>
      </c>
      <c r="E18" s="32" t="n">
        <f aca="false">$B$6+$A18+IF($A18&gt;=3,1,0)+INT(($B$9-1)/3)</f>
        <v>11</v>
      </c>
      <c r="F18" s="33" t="n">
        <f aca="false">$B$7*(1-$B$8*$A18)</f>
        <v>3.5</v>
      </c>
      <c r="G18" s="35" t="n">
        <f aca="false">60/F18</f>
        <v>17.1428571428571</v>
      </c>
      <c r="H18" s="35" t="n">
        <f aca="false">E18*F18</f>
        <v>38.5</v>
      </c>
      <c r="I18" s="13" t="s">
        <v>200</v>
      </c>
    </row>
    <row r="19" customFormat="false" ht="15" hidden="false" customHeight="true" outlineLevel="0" collapsed="false">
      <c r="A19" s="16" t="n">
        <v>6</v>
      </c>
      <c r="B19" s="12" t="str">
        <f aca="false">IF($A19=0,"Uninstalled",IF($A19&lt;=3,"Initiated",IF($A19&lt;=6,"Masterwork",IF($A19&lt;=9,"Mythic","Legendary"))))</f>
        <v>Masterwork</v>
      </c>
      <c r="C19" s="14" t="n">
        <f aca="false">ROUND($B$5*1.5*$A19^1.75/5,0)*5</f>
        <v>2070</v>
      </c>
      <c r="D19" s="14" t="n">
        <f aca="false">D18+C19</f>
        <v>5605</v>
      </c>
      <c r="E19" s="28" t="n">
        <f aca="false">$B$6+$A19+IF($A19&gt;=3,1,0)+INT(($B$9-1)/3)</f>
        <v>12</v>
      </c>
      <c r="F19" s="29" t="n">
        <f aca="false">$B$7*(1-$B$8*$A19)</f>
        <v>3.2</v>
      </c>
      <c r="G19" s="31" t="n">
        <f aca="false">60/F19</f>
        <v>18.75</v>
      </c>
      <c r="H19" s="31" t="n">
        <f aca="false">E19*F19</f>
        <v>38.4</v>
      </c>
      <c r="I19" s="12" t="s">
        <v>201</v>
      </c>
    </row>
    <row r="20" customFormat="false" ht="15" hidden="false" customHeight="true" outlineLevel="0" collapsed="false">
      <c r="A20" s="24" t="n">
        <v>7</v>
      </c>
      <c r="B20" s="13" t="str">
        <f aca="false">IF($A20=0,"Uninstalled",IF($A20&lt;=3,"Initiated",IF($A20&lt;=6,"Masterwork",IF($A20&lt;=9,"Mythic","Legendary"))))</f>
        <v>Mythic</v>
      </c>
      <c r="C20" s="15" t="n">
        <f aca="false">ROUND($B$5*1.5*$A20^1.75/5,0)*5</f>
        <v>2710</v>
      </c>
      <c r="D20" s="15" t="n">
        <f aca="false">D19+C20</f>
        <v>8315</v>
      </c>
      <c r="E20" s="32" t="n">
        <f aca="false">$B$6+$A20+IF($A20&gt;=3,1,0)+INT(($B$9-1)/3)</f>
        <v>13</v>
      </c>
      <c r="F20" s="33" t="n">
        <f aca="false">$B$7*(1-$B$8*$A20)</f>
        <v>2.9</v>
      </c>
      <c r="G20" s="35" t="n">
        <f aca="false">60/F20</f>
        <v>20.6896551724138</v>
      </c>
      <c r="H20" s="35" t="n">
        <f aca="false">E20*F20</f>
        <v>37.7</v>
      </c>
      <c r="I20" s="13"/>
    </row>
    <row r="21" customFormat="false" ht="15" hidden="false" customHeight="true" outlineLevel="0" collapsed="false">
      <c r="A21" s="16" t="n">
        <v>8</v>
      </c>
      <c r="B21" s="12" t="str">
        <f aca="false">IF($A21=0,"Uninstalled",IF($A21&lt;=3,"Initiated",IF($A21&lt;=6,"Masterwork",IF($A21&lt;=9,"Mythic","Legendary"))))</f>
        <v>Mythic</v>
      </c>
      <c r="C21" s="14" t="n">
        <f aca="false">ROUND($B$5*1.5*$A21^1.75/5,0)*5</f>
        <v>3425</v>
      </c>
      <c r="D21" s="14" t="n">
        <f aca="false">D20+C21</f>
        <v>11740</v>
      </c>
      <c r="E21" s="28" t="n">
        <f aca="false">$B$6+$A21+IF($A21&gt;=3,1,0)+INT(($B$9-1)/3)</f>
        <v>14</v>
      </c>
      <c r="F21" s="29" t="n">
        <f aca="false">$B$7*(1-$B$8*$A21)</f>
        <v>2.6</v>
      </c>
      <c r="G21" s="31" t="n">
        <f aca="false">60/F21</f>
        <v>23.0769230769231</v>
      </c>
      <c r="H21" s="31" t="n">
        <f aca="false">E21*F21</f>
        <v>36.4</v>
      </c>
      <c r="I21" s="12"/>
    </row>
    <row r="22" customFormat="false" ht="15" hidden="false" customHeight="true" outlineLevel="0" collapsed="false">
      <c r="A22" s="24" t="n">
        <v>9</v>
      </c>
      <c r="B22" s="13" t="str">
        <f aca="false">IF($A22=0,"Uninstalled",IF($A22&lt;=3,"Initiated",IF($A22&lt;=6,"Masterwork",IF($A22&lt;=9,"Mythic","Legendary"))))</f>
        <v>Mythic</v>
      </c>
      <c r="C22" s="15" t="n">
        <f aca="false">ROUND($B$5*1.5*$A22^1.75/5,0)*5</f>
        <v>4210</v>
      </c>
      <c r="D22" s="15" t="n">
        <f aca="false">D21+C22</f>
        <v>15950</v>
      </c>
      <c r="E22" s="32" t="n">
        <f aca="false">$B$6+$A22+IF($A22&gt;=3,1,0)+INT(($B$9-1)/3)</f>
        <v>15</v>
      </c>
      <c r="F22" s="33" t="n">
        <f aca="false">$B$7*(1-$B$8*$A22)</f>
        <v>2.3</v>
      </c>
      <c r="G22" s="35" t="n">
        <f aca="false">60/F22</f>
        <v>26.0869565217391</v>
      </c>
      <c r="H22" s="35" t="n">
        <f aca="false">E22*F22</f>
        <v>34.5</v>
      </c>
      <c r="I22" s="13" t="s">
        <v>202</v>
      </c>
    </row>
    <row r="23" customFormat="false" ht="23.25" hidden="false" customHeight="true" outlineLevel="0" collapsed="false">
      <c r="A23" s="16" t="n">
        <v>10</v>
      </c>
      <c r="B23" s="12" t="str">
        <f aca="false">IF($A23=0,"Uninstalled",IF($A23&lt;=3,"Initiated",IF($A23&lt;=6,"Masterwork",IF($A23&lt;=9,"Mythic","Legendary"))))</f>
        <v>Legendary</v>
      </c>
      <c r="C23" s="14" t="n">
        <f aca="false">ROUND($B$5*1.5*$A23^1.75/5,0)*5</f>
        <v>5060</v>
      </c>
      <c r="D23" s="14" t="n">
        <f aca="false">D22+C23</f>
        <v>21010</v>
      </c>
      <c r="E23" s="28" t="n">
        <f aca="false">$B$6+$A23+IF($A23&gt;=3,1,0)+INT(($B$9-1)/3)</f>
        <v>16</v>
      </c>
      <c r="F23" s="29" t="n">
        <f aca="false">$B$7*(1-$B$8*$A23)</f>
        <v>2</v>
      </c>
      <c r="G23" s="31" t="n">
        <f aca="false">60/F23</f>
        <v>30</v>
      </c>
      <c r="H23" s="31" t="n">
        <f aca="false">E23*F23</f>
        <v>32</v>
      </c>
      <c r="I23" s="12" t="s">
        <v>203</v>
      </c>
    </row>
    <row r="25" customFormat="false" ht="15" hidden="false" customHeight="true" outlineLevel="0" collapsed="false">
      <c r="A25" s="3" t="s">
        <v>204</v>
      </c>
    </row>
    <row r="26" customFormat="false" ht="15" hidden="false" customHeight="true" outlineLevel="0" collapsed="false">
      <c r="A26"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5" min="2" style="1" width="14"/>
    <col collapsed="false" customWidth="true" hidden="false" outlineLevel="0" max="6" min="6" style="1" width="62"/>
  </cols>
  <sheetData>
    <row r="1" customFormat="false" ht="21.75" hidden="false" customHeight="true" outlineLevel="0" collapsed="false">
      <c r="A1" s="2" t="s">
        <v>205</v>
      </c>
    </row>
    <row r="2" customFormat="false" ht="15" hidden="false" customHeight="true" outlineLevel="0" collapsed="false">
      <c r="A2" s="3" t="s">
        <v>206</v>
      </c>
    </row>
    <row r="4" customFormat="false" ht="15" hidden="false" customHeight="true" outlineLevel="0" collapsed="false">
      <c r="A4" s="6" t="s">
        <v>158</v>
      </c>
    </row>
    <row r="5" customFormat="false" ht="15" hidden="false" customHeight="true" outlineLevel="0" collapsed="false">
      <c r="A5" s="12" t="s">
        <v>159</v>
      </c>
      <c r="B5" s="22" t="n">
        <v>50</v>
      </c>
      <c r="C5" s="3" t="s">
        <v>160</v>
      </c>
    </row>
    <row r="6" customFormat="false" ht="15" hidden="false" customHeight="true" outlineLevel="0" collapsed="false">
      <c r="A6" s="12" t="s">
        <v>207</v>
      </c>
      <c r="B6" s="26" t="n">
        <v>10</v>
      </c>
      <c r="C6" s="3" t="s">
        <v>208</v>
      </c>
    </row>
    <row r="7" customFormat="false" ht="15" hidden="false" customHeight="true" outlineLevel="0" collapsed="false">
      <c r="A7" s="12" t="s">
        <v>209</v>
      </c>
      <c r="B7" s="26" t="n">
        <v>2</v>
      </c>
    </row>
    <row r="8" customFormat="false" ht="15" hidden="false" customHeight="true" outlineLevel="0" collapsed="false">
      <c r="A8" s="12" t="s">
        <v>138</v>
      </c>
      <c r="B8" s="26" t="n">
        <v>1</v>
      </c>
      <c r="C8" s="3" t="s">
        <v>210</v>
      </c>
    </row>
    <row r="10" customFormat="false" ht="15" hidden="false" customHeight="true" outlineLevel="0" collapsed="false">
      <c r="A10" s="6" t="s">
        <v>172</v>
      </c>
    </row>
    <row r="11" customFormat="false" ht="42" hidden="false" customHeight="true" outlineLevel="0" collapsed="false">
      <c r="A11" s="11" t="s">
        <v>131</v>
      </c>
      <c r="B11" s="11" t="s">
        <v>173</v>
      </c>
      <c r="C11" s="11" t="s">
        <v>174</v>
      </c>
      <c r="D11" s="11" t="s">
        <v>141</v>
      </c>
      <c r="E11" s="11" t="s">
        <v>211</v>
      </c>
      <c r="F11" s="11" t="s">
        <v>181</v>
      </c>
    </row>
    <row r="12" customFormat="false" ht="15" hidden="false" customHeight="true" outlineLevel="0" collapsed="false">
      <c r="A12" s="16" t="n">
        <v>0</v>
      </c>
      <c r="B12" s="12" t="str">
        <f aca="false">IF($A12=0,"Uninstalled",IF($A12&lt;=3,"Initiated",IF($A12&lt;=6,"Masterwork",IF($A12&lt;=9,"Mythic","Legendary"))))</f>
        <v>Uninstalled</v>
      </c>
      <c r="C12" s="14"/>
      <c r="D12" s="14" t="n">
        <f aca="false">0</f>
        <v>0</v>
      </c>
      <c r="E12" s="28" t="n">
        <f aca="false">$B$6+$B$7*$A12+($B$8-1)</f>
        <v>10</v>
      </c>
      <c r="F12" s="12"/>
    </row>
    <row r="13" customFormat="false" ht="15" hidden="false" customHeight="true" outlineLevel="0" collapsed="false">
      <c r="A13" s="24" t="n">
        <v>1</v>
      </c>
      <c r="B13" s="13" t="str">
        <f aca="false">IF($A13=0,"Uninstalled",IF($A13&lt;=3,"Initiated",IF($A13&lt;=6,"Masterwork",IF($A13&lt;=9,"Mythic","Legendary"))))</f>
        <v>Initiated</v>
      </c>
      <c r="C13" s="15" t="n">
        <f aca="false">ROUND($B$5*1.5*$A13^1.75/5,0)*5</f>
        <v>75</v>
      </c>
      <c r="D13" s="15" t="n">
        <f aca="false">D12+C13</f>
        <v>75</v>
      </c>
      <c r="E13" s="32" t="n">
        <f aca="false">$B$6+$B$7*$A13+($B$8-1)</f>
        <v>12</v>
      </c>
      <c r="F13" s="13"/>
    </row>
    <row r="14" customFormat="false" ht="15" hidden="false" customHeight="true" outlineLevel="0" collapsed="false">
      <c r="A14" s="16" t="n">
        <v>2</v>
      </c>
      <c r="B14" s="12" t="str">
        <f aca="false">IF($A14=0,"Uninstalled",IF($A14&lt;=3,"Initiated",IF($A14&lt;=6,"Masterwork",IF($A14&lt;=9,"Mythic","Legendary"))))</f>
        <v>Initiated</v>
      </c>
      <c r="C14" s="14" t="n">
        <f aca="false">ROUND($B$5*1.5*$A14^1.75/5,0)*5</f>
        <v>250</v>
      </c>
      <c r="D14" s="14" t="n">
        <f aca="false">D13+C14</f>
        <v>325</v>
      </c>
      <c r="E14" s="28" t="n">
        <f aca="false">$B$6+$B$7*$A14+($B$8-1)</f>
        <v>14</v>
      </c>
      <c r="F14" s="12"/>
    </row>
    <row r="15" customFormat="false" ht="15" hidden="false" customHeight="true" outlineLevel="0" collapsed="false">
      <c r="A15" s="24" t="n">
        <v>3</v>
      </c>
      <c r="B15" s="13" t="str">
        <f aca="false">IF($A15=0,"Uninstalled",IF($A15&lt;=3,"Initiated",IF($A15&lt;=6,"Masterwork",IF($A15&lt;=9,"Mythic","Legendary"))))</f>
        <v>Initiated</v>
      </c>
      <c r="C15" s="15" t="n">
        <f aca="false">ROUND($B$5*1.5*$A15^1.75/5,0)*5</f>
        <v>515</v>
      </c>
      <c r="D15" s="15" t="n">
        <f aca="false">D14+C15</f>
        <v>840</v>
      </c>
      <c r="E15" s="32" t="n">
        <f aca="false">$B$6+$B$7*$A15+($B$8-1)</f>
        <v>16</v>
      </c>
      <c r="F15" s="13" t="s">
        <v>212</v>
      </c>
    </row>
    <row r="16" customFormat="false" ht="15" hidden="false" customHeight="true" outlineLevel="0" collapsed="false">
      <c r="A16" s="16" t="n">
        <v>4</v>
      </c>
      <c r="B16" s="12" t="str">
        <f aca="false">IF($A16=0,"Uninstalled",IF($A16&lt;=3,"Initiated",IF($A16&lt;=6,"Masterwork",IF($A16&lt;=9,"Mythic","Legendary"))))</f>
        <v>Masterwork</v>
      </c>
      <c r="C16" s="14" t="n">
        <f aca="false">ROUND($B$5*1.5*$A16^1.75/5,0)*5</f>
        <v>850</v>
      </c>
      <c r="D16" s="14" t="n">
        <f aca="false">D15+C16</f>
        <v>1690</v>
      </c>
      <c r="E16" s="28" t="n">
        <f aca="false">$B$6+$B$7*$A16+($B$8-1)</f>
        <v>18</v>
      </c>
      <c r="F16" s="12"/>
    </row>
    <row r="17" customFormat="false" ht="15" hidden="false" customHeight="true" outlineLevel="0" collapsed="false">
      <c r="A17" s="24" t="n">
        <v>5</v>
      </c>
      <c r="B17" s="13" t="str">
        <f aca="false">IF($A17=0,"Uninstalled",IF($A17&lt;=3,"Initiated",IF($A17&lt;=6,"Masterwork",IF($A17&lt;=9,"Mythic","Legendary"))))</f>
        <v>Masterwork</v>
      </c>
      <c r="C17" s="15" t="n">
        <f aca="false">ROUND($B$5*1.5*$A17^1.75/5,0)*5</f>
        <v>1255</v>
      </c>
      <c r="D17" s="15" t="n">
        <f aca="false">D16+C17</f>
        <v>2945</v>
      </c>
      <c r="E17" s="32" t="n">
        <f aca="false">$B$6+$B$7*$A17+($B$8-1)</f>
        <v>20</v>
      </c>
      <c r="F17" s="13" t="s">
        <v>213</v>
      </c>
    </row>
    <row r="18" customFormat="false" ht="15" hidden="false" customHeight="true" outlineLevel="0" collapsed="false">
      <c r="A18" s="16" t="n">
        <v>6</v>
      </c>
      <c r="B18" s="12" t="str">
        <f aca="false">IF($A18=0,"Uninstalled",IF($A18&lt;=3,"Initiated",IF($A18&lt;=6,"Masterwork",IF($A18&lt;=9,"Mythic","Legendary"))))</f>
        <v>Masterwork</v>
      </c>
      <c r="C18" s="14" t="n">
        <f aca="false">ROUND($B$5*1.5*$A18^1.75/5,0)*5</f>
        <v>1725</v>
      </c>
      <c r="D18" s="14" t="n">
        <f aca="false">D17+C18</f>
        <v>4670</v>
      </c>
      <c r="E18" s="28" t="n">
        <f aca="false">$B$6+$B$7*$A18+($B$8-1)</f>
        <v>22</v>
      </c>
      <c r="F18" s="12" t="s">
        <v>214</v>
      </c>
    </row>
    <row r="19" customFormat="false" ht="15" hidden="false" customHeight="true" outlineLevel="0" collapsed="false">
      <c r="A19" s="24" t="n">
        <v>7</v>
      </c>
      <c r="B19" s="13" t="str">
        <f aca="false">IF($A19=0,"Uninstalled",IF($A19&lt;=3,"Initiated",IF($A19&lt;=6,"Masterwork",IF($A19&lt;=9,"Mythic","Legendary"))))</f>
        <v>Mythic</v>
      </c>
      <c r="C19" s="15" t="n">
        <f aca="false">ROUND($B$5*1.5*$A19^1.75/5,0)*5</f>
        <v>2260</v>
      </c>
      <c r="D19" s="15" t="n">
        <f aca="false">D18+C19</f>
        <v>6930</v>
      </c>
      <c r="E19" s="32" t="n">
        <f aca="false">$B$6+$B$7*$A19+($B$8-1)</f>
        <v>24</v>
      </c>
      <c r="F19" s="13"/>
    </row>
    <row r="20" customFormat="false" ht="15" hidden="false" customHeight="true" outlineLevel="0" collapsed="false">
      <c r="A20" s="16" t="n">
        <v>8</v>
      </c>
      <c r="B20" s="12" t="str">
        <f aca="false">IF($A20=0,"Uninstalled",IF($A20&lt;=3,"Initiated",IF($A20&lt;=6,"Masterwork",IF($A20&lt;=9,"Mythic","Legendary"))))</f>
        <v>Mythic</v>
      </c>
      <c r="C20" s="14" t="n">
        <f aca="false">ROUND($B$5*1.5*$A20^1.75/5,0)*5</f>
        <v>2855</v>
      </c>
      <c r="D20" s="14" t="n">
        <f aca="false">D19+C20</f>
        <v>9785</v>
      </c>
      <c r="E20" s="28" t="n">
        <f aca="false">$B$6+$B$7*$A20+($B$8-1)</f>
        <v>26</v>
      </c>
      <c r="F20" s="12"/>
    </row>
    <row r="21" customFormat="false" ht="15" hidden="false" customHeight="true" outlineLevel="0" collapsed="false">
      <c r="A21" s="24" t="n">
        <v>9</v>
      </c>
      <c r="B21" s="13" t="str">
        <f aca="false">IF($A21=0,"Uninstalled",IF($A21&lt;=3,"Initiated",IF($A21&lt;=6,"Masterwork",IF($A21&lt;=9,"Mythic","Legendary"))))</f>
        <v>Mythic</v>
      </c>
      <c r="C21" s="15" t="n">
        <f aca="false">ROUND($B$5*1.5*$A21^1.75/5,0)*5</f>
        <v>3505</v>
      </c>
      <c r="D21" s="15" t="n">
        <f aca="false">D20+C21</f>
        <v>13290</v>
      </c>
      <c r="E21" s="32" t="n">
        <f aca="false">$B$6+$B$7*$A21+($B$8-1)</f>
        <v>28</v>
      </c>
      <c r="F21" s="13" t="s">
        <v>215</v>
      </c>
    </row>
    <row r="22" customFormat="false" ht="15" hidden="false" customHeight="true" outlineLevel="0" collapsed="false">
      <c r="A22" s="16" t="n">
        <v>10</v>
      </c>
      <c r="B22" s="12" t="str">
        <f aca="false">IF($A22=0,"Uninstalled",IF($A22&lt;=3,"Initiated",IF($A22&lt;=6,"Masterwork",IF($A22&lt;=9,"Mythic","Legendary"))))</f>
        <v>Legendary</v>
      </c>
      <c r="C22" s="14" t="n">
        <f aca="false">ROUND($B$5*1.5*$A22^1.75/5,0)*5</f>
        <v>4220</v>
      </c>
      <c r="D22" s="14" t="n">
        <f aca="false">D21+C22</f>
        <v>17510</v>
      </c>
      <c r="E22" s="28" t="n">
        <f aca="false">$B$6+$B$7*$A22+($B$8-1)</f>
        <v>30</v>
      </c>
      <c r="F22" s="12" t="s">
        <v>216</v>
      </c>
    </row>
    <row r="24" customFormat="false" ht="15" hidden="false" customHeight="true" outlineLevel="0" collapsed="false">
      <c r="A24"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K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6" topLeftCell="B17" activePane="bottomRight" state="frozen"/>
      <selection pane="topLeft" activeCell="A1" activeCellId="0" sqref="A1"/>
      <selection pane="topRight" activeCell="B1" activeCellId="0" sqref="B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0" min="2" style="1" width="14"/>
    <col collapsed="false" customWidth="true" hidden="false" outlineLevel="0" max="11" min="11" style="1" width="62"/>
  </cols>
  <sheetData>
    <row r="1" customFormat="false" ht="21.75" hidden="false" customHeight="true" outlineLevel="0" collapsed="false">
      <c r="A1" s="2" t="s">
        <v>217</v>
      </c>
    </row>
    <row r="2" customFormat="false" ht="15" hidden="false" customHeight="true" outlineLevel="0" collapsed="false">
      <c r="A2" s="3" t="s">
        <v>218</v>
      </c>
    </row>
    <row r="4" customFormat="false" ht="15" hidden="false" customHeight="true" outlineLevel="0" collapsed="false">
      <c r="A4" s="6" t="s">
        <v>158</v>
      </c>
    </row>
    <row r="5" customFormat="false" ht="15" hidden="false" customHeight="true" outlineLevel="0" collapsed="false">
      <c r="A5" s="12" t="s">
        <v>159</v>
      </c>
      <c r="B5" s="22" t="n">
        <v>120</v>
      </c>
      <c r="C5" s="3" t="s">
        <v>160</v>
      </c>
    </row>
    <row r="6" customFormat="false" ht="15" hidden="false" customHeight="true" outlineLevel="0" collapsed="false">
      <c r="A6" s="12" t="s">
        <v>219</v>
      </c>
      <c r="B6" s="26" t="n">
        <v>5</v>
      </c>
      <c r="C6" s="3" t="s">
        <v>220</v>
      </c>
    </row>
    <row r="7" customFormat="false" ht="15" hidden="false" customHeight="true" outlineLevel="0" collapsed="false">
      <c r="A7" s="12" t="s">
        <v>221</v>
      </c>
      <c r="B7" s="26" t="n">
        <v>2</v>
      </c>
      <c r="C7" s="3" t="s">
        <v>222</v>
      </c>
    </row>
    <row r="8" customFormat="false" ht="15" hidden="false" customHeight="true" outlineLevel="0" collapsed="false">
      <c r="A8" s="12" t="s">
        <v>223</v>
      </c>
      <c r="B8" s="26" t="n">
        <v>3</v>
      </c>
      <c r="C8" s="3" t="s">
        <v>224</v>
      </c>
    </row>
    <row r="9" customFormat="false" ht="15" hidden="false" customHeight="true" outlineLevel="0" collapsed="false">
      <c r="A9" s="12" t="s">
        <v>225</v>
      </c>
      <c r="B9" s="36" t="n">
        <v>1.1</v>
      </c>
      <c r="C9" s="3" t="s">
        <v>226</v>
      </c>
    </row>
    <row r="10" customFormat="false" ht="15" hidden="false" customHeight="true" outlineLevel="0" collapsed="false">
      <c r="A10" s="12" t="s">
        <v>227</v>
      </c>
      <c r="B10" s="27" t="n">
        <v>0.7</v>
      </c>
      <c r="C10" s="3" t="s">
        <v>228</v>
      </c>
    </row>
    <row r="11" customFormat="false" ht="15" hidden="false" customHeight="true" outlineLevel="0" collapsed="false">
      <c r="A11" s="12" t="s">
        <v>229</v>
      </c>
      <c r="B11" s="37" t="n">
        <v>250</v>
      </c>
    </row>
    <row r="12" customFormat="false" ht="15" hidden="false" customHeight="true" outlineLevel="0" collapsed="false">
      <c r="A12" s="12" t="s">
        <v>230</v>
      </c>
      <c r="B12" s="37" t="n">
        <v>75</v>
      </c>
    </row>
    <row r="13" customFormat="false" ht="15" hidden="false" customHeight="true" outlineLevel="0" collapsed="false">
      <c r="A13" s="12" t="s">
        <v>231</v>
      </c>
      <c r="B13" s="37" t="n">
        <v>120</v>
      </c>
    </row>
    <row r="15" customFormat="false" ht="15" hidden="false" customHeight="true" outlineLevel="0" collapsed="false">
      <c r="A15" s="6" t="s">
        <v>172</v>
      </c>
    </row>
    <row r="16" customFormat="false" ht="42" hidden="false" customHeight="true" outlineLevel="0" collapsed="false">
      <c r="A16" s="11" t="s">
        <v>131</v>
      </c>
      <c r="B16" s="11" t="s">
        <v>173</v>
      </c>
      <c r="C16" s="11" t="s">
        <v>174</v>
      </c>
      <c r="D16" s="11" t="s">
        <v>141</v>
      </c>
      <c r="E16" s="11" t="s">
        <v>232</v>
      </c>
      <c r="F16" s="11" t="s">
        <v>221</v>
      </c>
      <c r="G16" s="11" t="s">
        <v>225</v>
      </c>
      <c r="H16" s="11" t="s">
        <v>233</v>
      </c>
      <c r="I16" s="11" t="s">
        <v>234</v>
      </c>
      <c r="J16" s="11" t="s">
        <v>235</v>
      </c>
      <c r="K16" s="11" t="s">
        <v>181</v>
      </c>
    </row>
    <row r="17" customFormat="false" ht="15" hidden="false" customHeight="true" outlineLevel="0" collapsed="false">
      <c r="A17" s="16" t="n">
        <v>1</v>
      </c>
      <c r="B17" s="12" t="str">
        <f aca="false">IF($A17=0,"Uninstalled",IF($A17&lt;=3,"Initiated",IF($A17&lt;=6,"Masterwork",IF($A17&lt;=9,"Mythic","Legendary"))))</f>
        <v>Initiated</v>
      </c>
      <c r="C17" s="14" t="n">
        <f aca="false">ROUND($B$5*1.5*$A17^1.75/5,0)*5</f>
        <v>180</v>
      </c>
      <c r="D17" s="14" t="n">
        <f aca="false">0+C17</f>
        <v>180</v>
      </c>
      <c r="E17" s="28" t="n">
        <f aca="false">4+INT(($A17+1)/2)+($B$6-5)</f>
        <v>5</v>
      </c>
      <c r="F17" s="28" t="n">
        <f aca="false">IF($A17&gt;=3,$B$8,$B$7)</f>
        <v>2</v>
      </c>
      <c r="G17" s="31" t="n">
        <f aca="false">IF($A17&gt;=6,$B$10,$B$9)</f>
        <v>1.1</v>
      </c>
      <c r="H17" s="31" t="n">
        <f aca="false">IF($A17&gt;=6,3,1.6)</f>
        <v>1.6</v>
      </c>
      <c r="I17" s="31" t="n">
        <f aca="false">F17/G17</f>
        <v>1.81818181818182</v>
      </c>
      <c r="J17" s="28" t="n">
        <f aca="false">E17*F17</f>
        <v>10</v>
      </c>
      <c r="K17" s="12"/>
    </row>
    <row r="18" customFormat="false" ht="15" hidden="false" customHeight="true" outlineLevel="0" collapsed="false">
      <c r="A18" s="24" t="n">
        <v>2</v>
      </c>
      <c r="B18" s="13" t="str">
        <f aca="false">IF($A18=0,"Uninstalled",IF($A18&lt;=3,"Initiated",IF($A18&lt;=6,"Masterwork",IF($A18&lt;=9,"Mythic","Legendary"))))</f>
        <v>Initiated</v>
      </c>
      <c r="C18" s="15" t="n">
        <f aca="false">ROUND($B$5*1.5*$A18^1.75/5,0)*5</f>
        <v>605</v>
      </c>
      <c r="D18" s="15" t="n">
        <f aca="false">D17+C18</f>
        <v>785</v>
      </c>
      <c r="E18" s="32" t="n">
        <f aca="false">4+INT(($A18+1)/2)+($B$6-5)</f>
        <v>5</v>
      </c>
      <c r="F18" s="32" t="n">
        <f aca="false">IF($A18&gt;=3,$B$8,$B$7)</f>
        <v>2</v>
      </c>
      <c r="G18" s="35" t="n">
        <f aca="false">IF($A18&gt;=6,$B$10,$B$9)</f>
        <v>1.1</v>
      </c>
      <c r="H18" s="35" t="n">
        <f aca="false">IF($A18&gt;=6,3,1.6)</f>
        <v>1.6</v>
      </c>
      <c r="I18" s="35" t="n">
        <f aca="false">F18/G18</f>
        <v>1.81818181818182</v>
      </c>
      <c r="J18" s="32" t="n">
        <f aca="false">E18*F18</f>
        <v>10</v>
      </c>
      <c r="K18" s="13"/>
    </row>
    <row r="19" customFormat="false" ht="15" hidden="false" customHeight="true" outlineLevel="0" collapsed="false">
      <c r="A19" s="16" t="n">
        <v>3</v>
      </c>
      <c r="B19" s="12" t="str">
        <f aca="false">IF($A19=0,"Uninstalled",IF($A19&lt;=3,"Initiated",IF($A19&lt;=6,"Masterwork",IF($A19&lt;=9,"Mythic","Legendary"))))</f>
        <v>Initiated</v>
      </c>
      <c r="C19" s="14" t="n">
        <f aca="false">ROUND($B$5*1.5*$A19^1.75/5,0)*5</f>
        <v>1230</v>
      </c>
      <c r="D19" s="14" t="n">
        <f aca="false">D18+C19</f>
        <v>2015</v>
      </c>
      <c r="E19" s="28" t="n">
        <f aca="false">4+INT(($A19+1)/2)+($B$6-5)</f>
        <v>6</v>
      </c>
      <c r="F19" s="28" t="n">
        <f aca="false">IF($A19&gt;=3,$B$8,$B$7)</f>
        <v>3</v>
      </c>
      <c r="G19" s="31" t="n">
        <f aca="false">IF($A19&gt;=6,$B$10,$B$9)</f>
        <v>1.1</v>
      </c>
      <c r="H19" s="31" t="n">
        <f aca="false">IF($A19&gt;=6,3,1.6)</f>
        <v>1.6</v>
      </c>
      <c r="I19" s="31" t="n">
        <f aca="false">F19/G19</f>
        <v>2.72727272727273</v>
      </c>
      <c r="J19" s="28" t="n">
        <f aca="false">E19*F19</f>
        <v>18</v>
      </c>
      <c r="K19" s="12" t="s">
        <v>236</v>
      </c>
    </row>
    <row r="20" customFormat="false" ht="15" hidden="false" customHeight="true" outlineLevel="0" collapsed="false">
      <c r="A20" s="24" t="n">
        <v>4</v>
      </c>
      <c r="B20" s="13" t="str">
        <f aca="false">IF($A20=0,"Uninstalled",IF($A20&lt;=3,"Initiated",IF($A20&lt;=6,"Masterwork",IF($A20&lt;=9,"Mythic","Legendary"))))</f>
        <v>Masterwork</v>
      </c>
      <c r="C20" s="15" t="n">
        <f aca="false">ROUND($B$5*1.5*$A20^1.75/5,0)*5</f>
        <v>2035</v>
      </c>
      <c r="D20" s="15" t="n">
        <f aca="false">D19+C20</f>
        <v>4050</v>
      </c>
      <c r="E20" s="32" t="n">
        <f aca="false">4+INT(($A20+1)/2)+($B$6-5)</f>
        <v>6</v>
      </c>
      <c r="F20" s="32" t="n">
        <f aca="false">IF($A20&gt;=3,$B$8,$B$7)</f>
        <v>3</v>
      </c>
      <c r="G20" s="35" t="n">
        <f aca="false">IF($A20&gt;=6,$B$10,$B$9)</f>
        <v>1.1</v>
      </c>
      <c r="H20" s="35" t="n">
        <f aca="false">IF($A20&gt;=6,3,1.6)</f>
        <v>1.6</v>
      </c>
      <c r="I20" s="35" t="n">
        <f aca="false">F20/G20</f>
        <v>2.72727272727273</v>
      </c>
      <c r="J20" s="32" t="n">
        <f aca="false">E20*F20</f>
        <v>18</v>
      </c>
      <c r="K20" s="13"/>
    </row>
    <row r="21" customFormat="false" ht="15" hidden="false" customHeight="true" outlineLevel="0" collapsed="false">
      <c r="A21" s="16" t="n">
        <v>5</v>
      </c>
      <c r="B21" s="12" t="str">
        <f aca="false">IF($A21=0,"Uninstalled",IF($A21&lt;=3,"Initiated",IF($A21&lt;=6,"Masterwork",IF($A21&lt;=9,"Mythic","Legendary"))))</f>
        <v>Masterwork</v>
      </c>
      <c r="C21" s="14" t="n">
        <f aca="false">ROUND($B$5*1.5*$A21^1.75/5,0)*5</f>
        <v>3010</v>
      </c>
      <c r="D21" s="14" t="n">
        <f aca="false">D20+C21</f>
        <v>7060</v>
      </c>
      <c r="E21" s="28" t="n">
        <f aca="false">4+INT(($A21+1)/2)+($B$6-5)</f>
        <v>7</v>
      </c>
      <c r="F21" s="28" t="n">
        <f aca="false">IF($A21&gt;=3,$B$8,$B$7)</f>
        <v>3</v>
      </c>
      <c r="G21" s="31" t="n">
        <f aca="false">IF($A21&gt;=6,$B$10,$B$9)</f>
        <v>1.1</v>
      </c>
      <c r="H21" s="31" t="n">
        <f aca="false">IF($A21&gt;=6,3,1.6)</f>
        <v>1.6</v>
      </c>
      <c r="I21" s="31" t="n">
        <f aca="false">F21/G21</f>
        <v>2.72727272727273</v>
      </c>
      <c r="J21" s="28" t="n">
        <f aca="false">E21*F21</f>
        <v>21</v>
      </c>
      <c r="K21" s="12" t="s">
        <v>237</v>
      </c>
    </row>
    <row r="22" customFormat="false" ht="15" hidden="false" customHeight="true" outlineLevel="0" collapsed="false">
      <c r="A22" s="24" t="n">
        <v>6</v>
      </c>
      <c r="B22" s="13" t="str">
        <f aca="false">IF($A22=0,"Uninstalled",IF($A22&lt;=3,"Initiated",IF($A22&lt;=6,"Masterwork",IF($A22&lt;=9,"Mythic","Legendary"))))</f>
        <v>Masterwork</v>
      </c>
      <c r="C22" s="15" t="n">
        <f aca="false">ROUND($B$5*1.5*$A22^1.75/5,0)*5</f>
        <v>4140</v>
      </c>
      <c r="D22" s="15" t="n">
        <f aca="false">D21+C22</f>
        <v>11200</v>
      </c>
      <c r="E22" s="32" t="n">
        <f aca="false">4+INT(($A22+1)/2)+($B$6-5)</f>
        <v>7</v>
      </c>
      <c r="F22" s="32" t="n">
        <f aca="false">IF($A22&gt;=3,$B$8,$B$7)</f>
        <v>3</v>
      </c>
      <c r="G22" s="35" t="n">
        <f aca="false">IF($A22&gt;=6,$B$10,$B$9)</f>
        <v>0.7</v>
      </c>
      <c r="H22" s="35" t="n">
        <f aca="false">IF($A22&gt;=6,3,1.6)</f>
        <v>3</v>
      </c>
      <c r="I22" s="35" t="n">
        <f aca="false">F22/G22</f>
        <v>4.28571428571429</v>
      </c>
      <c r="J22" s="32" t="n">
        <f aca="false">E22*F22</f>
        <v>21</v>
      </c>
      <c r="K22" s="13" t="s">
        <v>238</v>
      </c>
    </row>
    <row r="23" customFormat="false" ht="15" hidden="false" customHeight="true" outlineLevel="0" collapsed="false">
      <c r="A23" s="16" t="n">
        <v>7</v>
      </c>
      <c r="B23" s="12" t="str">
        <f aca="false">IF($A23=0,"Uninstalled",IF($A23&lt;=3,"Initiated",IF($A23&lt;=6,"Masterwork",IF($A23&lt;=9,"Mythic","Legendary"))))</f>
        <v>Mythic</v>
      </c>
      <c r="C23" s="14" t="n">
        <f aca="false">ROUND($B$5*1.5*$A23^1.75/5,0)*5</f>
        <v>5420</v>
      </c>
      <c r="D23" s="14" t="n">
        <f aca="false">D22+C23</f>
        <v>16620</v>
      </c>
      <c r="E23" s="28" t="n">
        <f aca="false">4+INT(($A23+1)/2)+($B$6-5)</f>
        <v>8</v>
      </c>
      <c r="F23" s="28" t="n">
        <f aca="false">IF($A23&gt;=3,$B$8,$B$7)</f>
        <v>3</v>
      </c>
      <c r="G23" s="31" t="n">
        <f aca="false">IF($A23&gt;=6,$B$10,$B$9)</f>
        <v>0.7</v>
      </c>
      <c r="H23" s="31" t="n">
        <f aca="false">IF($A23&gt;=6,3,1.6)</f>
        <v>3</v>
      </c>
      <c r="I23" s="31" t="n">
        <f aca="false">F23/G23</f>
        <v>4.28571428571429</v>
      </c>
      <c r="J23" s="28" t="n">
        <f aca="false">E23*F23</f>
        <v>24</v>
      </c>
      <c r="K23" s="12"/>
    </row>
    <row r="24" customFormat="false" ht="15" hidden="false" customHeight="true" outlineLevel="0" collapsed="false">
      <c r="A24" s="24" t="n">
        <v>8</v>
      </c>
      <c r="B24" s="13" t="str">
        <f aca="false">IF($A24=0,"Uninstalled",IF($A24&lt;=3,"Initiated",IF($A24&lt;=6,"Masterwork",IF($A24&lt;=9,"Mythic","Legendary"))))</f>
        <v>Mythic</v>
      </c>
      <c r="C24" s="15" t="n">
        <f aca="false">ROUND($B$5*1.5*$A24^1.75/5,0)*5</f>
        <v>6850</v>
      </c>
      <c r="D24" s="15" t="n">
        <f aca="false">D23+C24</f>
        <v>23470</v>
      </c>
      <c r="E24" s="32" t="n">
        <f aca="false">4+INT(($A24+1)/2)+($B$6-5)</f>
        <v>8</v>
      </c>
      <c r="F24" s="32" t="n">
        <f aca="false">IF($A24&gt;=3,$B$8,$B$7)</f>
        <v>3</v>
      </c>
      <c r="G24" s="35" t="n">
        <f aca="false">IF($A24&gt;=6,$B$10,$B$9)</f>
        <v>0.7</v>
      </c>
      <c r="H24" s="35" t="n">
        <f aca="false">IF($A24&gt;=6,3,1.6)</f>
        <v>3</v>
      </c>
      <c r="I24" s="35" t="n">
        <f aca="false">F24/G24</f>
        <v>4.28571428571429</v>
      </c>
      <c r="J24" s="32" t="n">
        <f aca="false">E24*F24</f>
        <v>24</v>
      </c>
      <c r="K24" s="13"/>
    </row>
    <row r="25" customFormat="false" ht="15" hidden="false" customHeight="true" outlineLevel="0" collapsed="false">
      <c r="A25" s="16" t="n">
        <v>9</v>
      </c>
      <c r="B25" s="12" t="str">
        <f aca="false">IF($A25=0,"Uninstalled",IF($A25&lt;=3,"Initiated",IF($A25&lt;=6,"Masterwork",IF($A25&lt;=9,"Mythic","Legendary"))))</f>
        <v>Mythic</v>
      </c>
      <c r="C25" s="14" t="n">
        <f aca="false">ROUND($B$5*1.5*$A25^1.75/5,0)*5</f>
        <v>8420</v>
      </c>
      <c r="D25" s="14" t="n">
        <f aca="false">D24+C25</f>
        <v>31890</v>
      </c>
      <c r="E25" s="28" t="n">
        <f aca="false">4+INT(($A25+1)/2)+($B$6-5)</f>
        <v>9</v>
      </c>
      <c r="F25" s="28" t="n">
        <f aca="false">IF($A25&gt;=3,$B$8,$B$7)</f>
        <v>3</v>
      </c>
      <c r="G25" s="31" t="n">
        <f aca="false">IF($A25&gt;=6,$B$10,$B$9)</f>
        <v>0.7</v>
      </c>
      <c r="H25" s="31" t="n">
        <f aca="false">IF($A25&gt;=6,3,1.6)</f>
        <v>3</v>
      </c>
      <c r="I25" s="31" t="n">
        <f aca="false">F25/G25</f>
        <v>4.28571428571429</v>
      </c>
      <c r="J25" s="28" t="n">
        <f aca="false">E25*F25</f>
        <v>27</v>
      </c>
      <c r="K25" s="12" t="s">
        <v>239</v>
      </c>
    </row>
    <row r="26" customFormat="false" ht="23.25" hidden="false" customHeight="true" outlineLevel="0" collapsed="false">
      <c r="A26" s="24" t="n">
        <v>10</v>
      </c>
      <c r="B26" s="13" t="str">
        <f aca="false">IF($A26=0,"Uninstalled",IF($A26&lt;=3,"Initiated",IF($A26&lt;=6,"Masterwork",IF($A26&lt;=9,"Mythic","Legendary"))))</f>
        <v>Legendary</v>
      </c>
      <c r="C26" s="15" t="n">
        <f aca="false">ROUND($B$5*1.5*$A26^1.75/5,0)*5</f>
        <v>10120</v>
      </c>
      <c r="D26" s="15" t="n">
        <f aca="false">D25+C26</f>
        <v>42010</v>
      </c>
      <c r="E26" s="32" t="n">
        <f aca="false">4+INT(($A26+1)/2)+($B$6-5)</f>
        <v>9</v>
      </c>
      <c r="F26" s="32" t="n">
        <f aca="false">IF($A26&gt;=3,$B$8,$B$7)</f>
        <v>3</v>
      </c>
      <c r="G26" s="35" t="n">
        <f aca="false">IF($A26&gt;=6,$B$10,$B$9)</f>
        <v>0.7</v>
      </c>
      <c r="H26" s="35" t="n">
        <f aca="false">IF($A26&gt;=6,3,1.6)</f>
        <v>3</v>
      </c>
      <c r="I26" s="35" t="n">
        <f aca="false">F26/G26</f>
        <v>4.28571428571429</v>
      </c>
      <c r="J26" s="32" t="n">
        <f aca="false">E26*F26</f>
        <v>27</v>
      </c>
      <c r="K26" s="13" t="s">
        <v>240</v>
      </c>
    </row>
    <row r="28" customFormat="false" ht="15" hidden="false" customHeight="true" outlineLevel="0" collapsed="false">
      <c r="A28" s="3" t="s">
        <v>241</v>
      </c>
    </row>
    <row r="29" customFormat="false" ht="15" hidden="false" customHeight="true" outlineLevel="0" collapsed="false">
      <c r="A29"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3" topLeftCell="B14" activePane="bottomRight" state="frozen"/>
      <selection pane="topLeft" activeCell="A1" activeCellId="0" sqref="A1"/>
      <selection pane="topRight" activeCell="B1" activeCellId="0" sqref="B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1" min="2" style="1" width="14"/>
    <col collapsed="false" customWidth="true" hidden="false" outlineLevel="0" max="12" min="12" style="1" width="62"/>
  </cols>
  <sheetData>
    <row r="1" customFormat="false" ht="21.75" hidden="false" customHeight="true" outlineLevel="0" collapsed="false">
      <c r="A1" s="2" t="s">
        <v>242</v>
      </c>
    </row>
    <row r="2" customFormat="false" ht="15" hidden="false" customHeight="true" outlineLevel="0" collapsed="false">
      <c r="A2" s="3" t="s">
        <v>243</v>
      </c>
    </row>
    <row r="4" customFormat="false" ht="15" hidden="false" customHeight="true" outlineLevel="0" collapsed="false">
      <c r="A4" s="6" t="s">
        <v>158</v>
      </c>
    </row>
    <row r="5" customFormat="false" ht="15" hidden="false" customHeight="true" outlineLevel="0" collapsed="false">
      <c r="A5" s="12" t="s">
        <v>159</v>
      </c>
      <c r="B5" s="22" t="n">
        <v>70</v>
      </c>
      <c r="C5" s="3" t="s">
        <v>160</v>
      </c>
    </row>
    <row r="6" customFormat="false" ht="15" hidden="false" customHeight="true" outlineLevel="0" collapsed="false">
      <c r="A6" s="12" t="s">
        <v>244</v>
      </c>
      <c r="B6" s="36" t="n">
        <v>1.8</v>
      </c>
      <c r="C6" s="3" t="s">
        <v>245</v>
      </c>
    </row>
    <row r="7" customFormat="false" ht="15" hidden="false" customHeight="true" outlineLevel="0" collapsed="false">
      <c r="A7" s="12" t="s">
        <v>246</v>
      </c>
      <c r="B7" s="27" t="n">
        <v>0.06</v>
      </c>
    </row>
    <row r="8" customFormat="false" ht="15" hidden="false" customHeight="true" outlineLevel="0" collapsed="false">
      <c r="A8" s="12" t="s">
        <v>247</v>
      </c>
      <c r="B8" s="26" t="n">
        <v>3</v>
      </c>
      <c r="C8" s="3" t="s">
        <v>248</v>
      </c>
    </row>
    <row r="9" customFormat="false" ht="15" hidden="false" customHeight="true" outlineLevel="0" collapsed="false">
      <c r="A9" s="12" t="s">
        <v>249</v>
      </c>
      <c r="B9" s="26" t="n">
        <v>11</v>
      </c>
      <c r="C9" s="3" t="s">
        <v>250</v>
      </c>
    </row>
    <row r="10" customFormat="false" ht="15" hidden="false" customHeight="true" outlineLevel="0" collapsed="false">
      <c r="A10" s="12" t="s">
        <v>251</v>
      </c>
      <c r="B10" s="26" t="n">
        <v>28</v>
      </c>
      <c r="C10" s="3" t="s">
        <v>252</v>
      </c>
    </row>
    <row r="12" customFormat="false" ht="15" hidden="false" customHeight="true" outlineLevel="0" collapsed="false">
      <c r="A12" s="6" t="s">
        <v>172</v>
      </c>
    </row>
    <row r="13" customFormat="false" ht="42" hidden="false" customHeight="true" outlineLevel="0" collapsed="false">
      <c r="A13" s="11" t="s">
        <v>131</v>
      </c>
      <c r="B13" s="11" t="s">
        <v>173</v>
      </c>
      <c r="C13" s="11" t="s">
        <v>174</v>
      </c>
      <c r="D13" s="11" t="s">
        <v>141</v>
      </c>
      <c r="E13" s="11" t="s">
        <v>253</v>
      </c>
      <c r="F13" s="11" t="s">
        <v>247</v>
      </c>
      <c r="G13" s="11" t="s">
        <v>249</v>
      </c>
      <c r="H13" s="11" t="s">
        <v>254</v>
      </c>
      <c r="I13" s="11" t="s">
        <v>255</v>
      </c>
      <c r="J13" s="11" t="s">
        <v>256</v>
      </c>
      <c r="K13" s="11" t="s">
        <v>257</v>
      </c>
      <c r="L13" s="11" t="s">
        <v>181</v>
      </c>
    </row>
    <row r="14" customFormat="false" ht="15" hidden="false" customHeight="true" outlineLevel="0" collapsed="false">
      <c r="A14" s="16" t="n">
        <v>0</v>
      </c>
      <c r="B14" s="12" t="str">
        <f aca="false">IF($A14=0,"Uninstalled",IF($A14&lt;=3,"Initiated",IF($A14&lt;=6,"Masterwork",IF($A14&lt;=9,"Mythic","Legendary"))))</f>
        <v>Uninstalled</v>
      </c>
      <c r="C14" s="14"/>
      <c r="D14" s="14" t="n">
        <f aca="false">0</f>
        <v>0</v>
      </c>
      <c r="E14" s="29" t="n">
        <f aca="false">$B$6*(1+$B$7*$A14)</f>
        <v>1.8</v>
      </c>
      <c r="F14" s="28" t="n">
        <f aca="false">IF($A14&gt;=3,$B$8+1,$B$8)</f>
        <v>3</v>
      </c>
      <c r="G14" s="28" t="n">
        <f aca="false">IF($A14&gt;=6,7,$B$9)</f>
        <v>11</v>
      </c>
      <c r="H14" s="28" t="n">
        <f aca="false">$B$10+5*MAX(0,MIN($A14,3)-1)</f>
        <v>28</v>
      </c>
      <c r="I14" s="28" t="n">
        <f aca="false">ROUNDUP(100/G14,0)</f>
        <v>10</v>
      </c>
      <c r="J14" s="31" t="n">
        <f aca="false">IF($A14&gt;=6,0.9,1.5)</f>
        <v>1.5</v>
      </c>
      <c r="K14" s="38" t="n">
        <f aca="false">IF($A14&gt;=10,0.2,0.05)</f>
        <v>0.05</v>
      </c>
      <c r="L14" s="12"/>
    </row>
    <row r="15" customFormat="false" ht="15" hidden="false" customHeight="true" outlineLevel="0" collapsed="false">
      <c r="A15" s="24" t="n">
        <v>1</v>
      </c>
      <c r="B15" s="13" t="str">
        <f aca="false">IF($A15=0,"Uninstalled",IF($A15&lt;=3,"Initiated",IF($A15&lt;=6,"Masterwork",IF($A15&lt;=9,"Mythic","Legendary"))))</f>
        <v>Initiated</v>
      </c>
      <c r="C15" s="15" t="n">
        <f aca="false">ROUND($B$5*1.5*$A15^1.75/5,0)*5</f>
        <v>105</v>
      </c>
      <c r="D15" s="15" t="n">
        <f aca="false">D14+C15</f>
        <v>105</v>
      </c>
      <c r="E15" s="33" t="n">
        <f aca="false">$B$6*(1+$B$7*$A15)</f>
        <v>1.908</v>
      </c>
      <c r="F15" s="32" t="n">
        <f aca="false">IF($A15&gt;=3,$B$8+1,$B$8)</f>
        <v>3</v>
      </c>
      <c r="G15" s="32" t="n">
        <f aca="false">IF($A15&gt;=6,7,$B$9)</f>
        <v>11</v>
      </c>
      <c r="H15" s="32" t="n">
        <f aca="false">$B$10+5*MAX(0,MIN($A15,3)-1)</f>
        <v>28</v>
      </c>
      <c r="I15" s="32" t="n">
        <f aca="false">ROUNDUP(100/G15,0)</f>
        <v>10</v>
      </c>
      <c r="J15" s="35" t="n">
        <f aca="false">IF($A15&gt;=6,0.9,1.5)</f>
        <v>1.5</v>
      </c>
      <c r="K15" s="39" t="n">
        <f aca="false">IF($A15&gt;=10,0.2,0.05)</f>
        <v>0.05</v>
      </c>
      <c r="L15" s="13"/>
    </row>
    <row r="16" customFormat="false" ht="15" hidden="false" customHeight="true" outlineLevel="0" collapsed="false">
      <c r="A16" s="16" t="n">
        <v>2</v>
      </c>
      <c r="B16" s="12" t="str">
        <f aca="false">IF($A16=0,"Uninstalled",IF($A16&lt;=3,"Initiated",IF($A16&lt;=6,"Masterwork",IF($A16&lt;=9,"Mythic","Legendary"))))</f>
        <v>Initiated</v>
      </c>
      <c r="C16" s="14" t="n">
        <f aca="false">ROUND($B$5*1.5*$A16^1.75/5,0)*5</f>
        <v>355</v>
      </c>
      <c r="D16" s="14" t="n">
        <f aca="false">D15+C16</f>
        <v>460</v>
      </c>
      <c r="E16" s="29" t="n">
        <f aca="false">$B$6*(1+$B$7*$A16)</f>
        <v>2.016</v>
      </c>
      <c r="F16" s="28" t="n">
        <f aca="false">IF($A16&gt;=3,$B$8+1,$B$8)</f>
        <v>3</v>
      </c>
      <c r="G16" s="28" t="n">
        <f aca="false">IF($A16&gt;=6,7,$B$9)</f>
        <v>11</v>
      </c>
      <c r="H16" s="28" t="n">
        <f aca="false">$B$10+5*MAX(0,MIN($A16,3)-1)</f>
        <v>33</v>
      </c>
      <c r="I16" s="28" t="n">
        <f aca="false">ROUNDUP(100/G16,0)</f>
        <v>10</v>
      </c>
      <c r="J16" s="31" t="n">
        <f aca="false">IF($A16&gt;=6,0.9,1.5)</f>
        <v>1.5</v>
      </c>
      <c r="K16" s="38" t="n">
        <f aca="false">IF($A16&gt;=10,0.2,0.05)</f>
        <v>0.05</v>
      </c>
      <c r="L16" s="12"/>
    </row>
    <row r="17" customFormat="false" ht="15" hidden="false" customHeight="true" outlineLevel="0" collapsed="false">
      <c r="A17" s="24" t="n">
        <v>3</v>
      </c>
      <c r="B17" s="13" t="str">
        <f aca="false">IF($A17=0,"Uninstalled",IF($A17&lt;=3,"Initiated",IF($A17&lt;=6,"Masterwork",IF($A17&lt;=9,"Mythic","Legendary"))))</f>
        <v>Initiated</v>
      </c>
      <c r="C17" s="15" t="n">
        <f aca="false">ROUND($B$5*1.5*$A17^1.75/5,0)*5</f>
        <v>720</v>
      </c>
      <c r="D17" s="15" t="n">
        <f aca="false">D16+C17</f>
        <v>1180</v>
      </c>
      <c r="E17" s="33" t="n">
        <f aca="false">$B$6*(1+$B$7*$A17)</f>
        <v>2.124</v>
      </c>
      <c r="F17" s="32" t="n">
        <f aca="false">IF($A17&gt;=3,$B$8+1,$B$8)</f>
        <v>4</v>
      </c>
      <c r="G17" s="32" t="n">
        <f aca="false">IF($A17&gt;=6,7,$B$9)</f>
        <v>11</v>
      </c>
      <c r="H17" s="32" t="n">
        <f aca="false">$B$10+5*MAX(0,MIN($A17,3)-1)</f>
        <v>38</v>
      </c>
      <c r="I17" s="32" t="n">
        <f aca="false">ROUNDUP(100/G17,0)</f>
        <v>10</v>
      </c>
      <c r="J17" s="35" t="n">
        <f aca="false">IF($A17&gt;=6,0.9,1.5)</f>
        <v>1.5</v>
      </c>
      <c r="K17" s="39" t="n">
        <f aca="false">IF($A17&gt;=10,0.2,0.05)</f>
        <v>0.05</v>
      </c>
      <c r="L17" s="13" t="s">
        <v>258</v>
      </c>
    </row>
    <row r="18" customFormat="false" ht="15" hidden="false" customHeight="true" outlineLevel="0" collapsed="false">
      <c r="A18" s="16" t="n">
        <v>4</v>
      </c>
      <c r="B18" s="12" t="str">
        <f aca="false">IF($A18=0,"Uninstalled",IF($A18&lt;=3,"Initiated",IF($A18&lt;=6,"Masterwork",IF($A18&lt;=9,"Mythic","Legendary"))))</f>
        <v>Masterwork</v>
      </c>
      <c r="C18" s="14" t="n">
        <f aca="false">ROUND($B$5*1.5*$A18^1.75/5,0)*5</f>
        <v>1190</v>
      </c>
      <c r="D18" s="14" t="n">
        <f aca="false">D17+C18</f>
        <v>2370</v>
      </c>
      <c r="E18" s="29" t="n">
        <f aca="false">$B$6*(1+$B$7*$A18)</f>
        <v>2.232</v>
      </c>
      <c r="F18" s="28" t="n">
        <f aca="false">IF($A18&gt;=3,$B$8+1,$B$8)</f>
        <v>4</v>
      </c>
      <c r="G18" s="28" t="n">
        <f aca="false">IF($A18&gt;=6,7,$B$9)</f>
        <v>11</v>
      </c>
      <c r="H18" s="28" t="n">
        <f aca="false">$B$10+5*MAX(0,MIN($A18,3)-1)</f>
        <v>38</v>
      </c>
      <c r="I18" s="28" t="n">
        <f aca="false">ROUNDUP(100/G18,0)</f>
        <v>10</v>
      </c>
      <c r="J18" s="31" t="n">
        <f aca="false">IF($A18&gt;=6,0.9,1.5)</f>
        <v>1.5</v>
      </c>
      <c r="K18" s="38" t="n">
        <f aca="false">IF($A18&gt;=10,0.2,0.05)</f>
        <v>0.05</v>
      </c>
      <c r="L18" s="12"/>
    </row>
    <row r="19" customFormat="false" ht="15" hidden="false" customHeight="true" outlineLevel="0" collapsed="false">
      <c r="A19" s="24" t="n">
        <v>5</v>
      </c>
      <c r="B19" s="13" t="str">
        <f aca="false">IF($A19=0,"Uninstalled",IF($A19&lt;=3,"Initiated",IF($A19&lt;=6,"Masterwork",IF($A19&lt;=9,"Mythic","Legendary"))))</f>
        <v>Masterwork</v>
      </c>
      <c r="C19" s="15" t="n">
        <f aca="false">ROUND($B$5*1.5*$A19^1.75/5,0)*5</f>
        <v>1755</v>
      </c>
      <c r="D19" s="15" t="n">
        <f aca="false">D18+C19</f>
        <v>4125</v>
      </c>
      <c r="E19" s="33" t="n">
        <f aca="false">$B$6*(1+$B$7*$A19)</f>
        <v>2.34</v>
      </c>
      <c r="F19" s="32" t="n">
        <f aca="false">IF($A19&gt;=3,$B$8+1,$B$8)</f>
        <v>4</v>
      </c>
      <c r="G19" s="32" t="n">
        <f aca="false">IF($A19&gt;=6,7,$B$9)</f>
        <v>11</v>
      </c>
      <c r="H19" s="32" t="n">
        <f aca="false">$B$10+5*MAX(0,MIN($A19,3)-1)</f>
        <v>38</v>
      </c>
      <c r="I19" s="32" t="n">
        <f aca="false">ROUNDUP(100/G19,0)</f>
        <v>10</v>
      </c>
      <c r="J19" s="35" t="n">
        <f aca="false">IF($A19&gt;=6,0.9,1.5)</f>
        <v>1.5</v>
      </c>
      <c r="K19" s="39" t="n">
        <f aca="false">IF($A19&gt;=10,0.2,0.05)</f>
        <v>0.05</v>
      </c>
      <c r="L19" s="13" t="s">
        <v>259</v>
      </c>
    </row>
    <row r="20" customFormat="false" ht="15" hidden="false" customHeight="true" outlineLevel="0" collapsed="false">
      <c r="A20" s="16" t="n">
        <v>6</v>
      </c>
      <c r="B20" s="12" t="str">
        <f aca="false">IF($A20=0,"Uninstalled",IF($A20&lt;=3,"Initiated",IF($A20&lt;=6,"Masterwork",IF($A20&lt;=9,"Mythic","Legendary"))))</f>
        <v>Masterwork</v>
      </c>
      <c r="C20" s="14" t="n">
        <f aca="false">ROUND($B$5*1.5*$A20^1.75/5,0)*5</f>
        <v>2415</v>
      </c>
      <c r="D20" s="14" t="n">
        <f aca="false">D19+C20</f>
        <v>6540</v>
      </c>
      <c r="E20" s="29" t="n">
        <f aca="false">$B$6*(1+$B$7*$A20)</f>
        <v>2.448</v>
      </c>
      <c r="F20" s="28" t="n">
        <f aca="false">IF($A20&gt;=3,$B$8+1,$B$8)</f>
        <v>4</v>
      </c>
      <c r="G20" s="28" t="n">
        <f aca="false">IF($A20&gt;=6,7,$B$9)</f>
        <v>7</v>
      </c>
      <c r="H20" s="28" t="n">
        <f aca="false">$B$10+5*MAX(0,MIN($A20,3)-1)</f>
        <v>38</v>
      </c>
      <c r="I20" s="28" t="n">
        <f aca="false">ROUNDUP(100/G20,0)</f>
        <v>15</v>
      </c>
      <c r="J20" s="31" t="n">
        <f aca="false">IF($A20&gt;=6,0.9,1.5)</f>
        <v>0.9</v>
      </c>
      <c r="K20" s="38" t="n">
        <f aca="false">IF($A20&gt;=10,0.2,0.05)</f>
        <v>0.05</v>
      </c>
      <c r="L20" s="12" t="s">
        <v>260</v>
      </c>
    </row>
    <row r="21" customFormat="false" ht="15" hidden="false" customHeight="true" outlineLevel="0" collapsed="false">
      <c r="A21" s="24" t="n">
        <v>7</v>
      </c>
      <c r="B21" s="13" t="str">
        <f aca="false">IF($A21=0,"Uninstalled",IF($A21&lt;=3,"Initiated",IF($A21&lt;=6,"Masterwork",IF($A21&lt;=9,"Mythic","Legendary"))))</f>
        <v>Mythic</v>
      </c>
      <c r="C21" s="15" t="n">
        <f aca="false">ROUND($B$5*1.5*$A21^1.75/5,0)*5</f>
        <v>3165</v>
      </c>
      <c r="D21" s="15" t="n">
        <f aca="false">D20+C21</f>
        <v>9705</v>
      </c>
      <c r="E21" s="33" t="n">
        <f aca="false">$B$6*(1+$B$7*$A21)</f>
        <v>2.556</v>
      </c>
      <c r="F21" s="32" t="n">
        <f aca="false">IF($A21&gt;=3,$B$8+1,$B$8)</f>
        <v>4</v>
      </c>
      <c r="G21" s="32" t="n">
        <f aca="false">IF($A21&gt;=6,7,$B$9)</f>
        <v>7</v>
      </c>
      <c r="H21" s="32" t="n">
        <f aca="false">$B$10+5*MAX(0,MIN($A21,3)-1)</f>
        <v>38</v>
      </c>
      <c r="I21" s="32" t="n">
        <f aca="false">ROUNDUP(100/G21,0)</f>
        <v>15</v>
      </c>
      <c r="J21" s="35" t="n">
        <f aca="false">IF($A21&gt;=6,0.9,1.5)</f>
        <v>0.9</v>
      </c>
      <c r="K21" s="39" t="n">
        <f aca="false">IF($A21&gt;=10,0.2,0.05)</f>
        <v>0.05</v>
      </c>
      <c r="L21" s="13"/>
    </row>
    <row r="22" customFormat="false" ht="15" hidden="false" customHeight="true" outlineLevel="0" collapsed="false">
      <c r="A22" s="16" t="n">
        <v>8</v>
      </c>
      <c r="B22" s="12" t="str">
        <f aca="false">IF($A22=0,"Uninstalled",IF($A22&lt;=3,"Initiated",IF($A22&lt;=6,"Masterwork",IF($A22&lt;=9,"Mythic","Legendary"))))</f>
        <v>Mythic</v>
      </c>
      <c r="C22" s="14" t="n">
        <f aca="false">ROUND($B$5*1.5*$A22^1.75/5,0)*5</f>
        <v>3995</v>
      </c>
      <c r="D22" s="14" t="n">
        <f aca="false">D21+C22</f>
        <v>13700</v>
      </c>
      <c r="E22" s="29" t="n">
        <f aca="false">$B$6*(1+$B$7*$A22)</f>
        <v>2.664</v>
      </c>
      <c r="F22" s="28" t="n">
        <f aca="false">IF($A22&gt;=3,$B$8+1,$B$8)</f>
        <v>4</v>
      </c>
      <c r="G22" s="28" t="n">
        <f aca="false">IF($A22&gt;=6,7,$B$9)</f>
        <v>7</v>
      </c>
      <c r="H22" s="28" t="n">
        <f aca="false">$B$10+5*MAX(0,MIN($A22,3)-1)</f>
        <v>38</v>
      </c>
      <c r="I22" s="28" t="n">
        <f aca="false">ROUNDUP(100/G22,0)</f>
        <v>15</v>
      </c>
      <c r="J22" s="31" t="n">
        <f aca="false">IF($A22&gt;=6,0.9,1.5)</f>
        <v>0.9</v>
      </c>
      <c r="K22" s="38" t="n">
        <f aca="false">IF($A22&gt;=10,0.2,0.05)</f>
        <v>0.05</v>
      </c>
      <c r="L22" s="12"/>
    </row>
    <row r="23" customFormat="false" ht="15" hidden="false" customHeight="true" outlineLevel="0" collapsed="false">
      <c r="A23" s="24" t="n">
        <v>9</v>
      </c>
      <c r="B23" s="13" t="str">
        <f aca="false">IF($A23=0,"Uninstalled",IF($A23&lt;=3,"Initiated",IF($A23&lt;=6,"Masterwork",IF($A23&lt;=9,"Mythic","Legendary"))))</f>
        <v>Mythic</v>
      </c>
      <c r="C23" s="15" t="n">
        <f aca="false">ROUND($B$5*1.5*$A23^1.75/5,0)*5</f>
        <v>4910</v>
      </c>
      <c r="D23" s="15" t="n">
        <f aca="false">D22+C23</f>
        <v>18610</v>
      </c>
      <c r="E23" s="33" t="n">
        <f aca="false">$B$6*(1+$B$7*$A23)</f>
        <v>2.772</v>
      </c>
      <c r="F23" s="32" t="n">
        <f aca="false">IF($A23&gt;=3,$B$8+1,$B$8)</f>
        <v>4</v>
      </c>
      <c r="G23" s="32" t="n">
        <f aca="false">IF($A23&gt;=6,7,$B$9)</f>
        <v>7</v>
      </c>
      <c r="H23" s="32" t="n">
        <f aca="false">$B$10+5*MAX(0,MIN($A23,3)-1)</f>
        <v>38</v>
      </c>
      <c r="I23" s="32" t="n">
        <f aca="false">ROUNDUP(100/G23,0)</f>
        <v>15</v>
      </c>
      <c r="J23" s="35" t="n">
        <f aca="false">IF($A23&gt;=6,0.9,1.5)</f>
        <v>0.9</v>
      </c>
      <c r="K23" s="39" t="n">
        <f aca="false">IF($A23&gt;=10,0.2,0.05)</f>
        <v>0.05</v>
      </c>
      <c r="L23" s="13" t="s">
        <v>261</v>
      </c>
    </row>
    <row r="24" customFormat="false" ht="15" hidden="false" customHeight="true" outlineLevel="0" collapsed="false">
      <c r="A24" s="16" t="n">
        <v>10</v>
      </c>
      <c r="B24" s="12" t="str">
        <f aca="false">IF($A24=0,"Uninstalled",IF($A24&lt;=3,"Initiated",IF($A24&lt;=6,"Masterwork",IF($A24&lt;=9,"Mythic","Legendary"))))</f>
        <v>Legendary</v>
      </c>
      <c r="C24" s="14" t="n">
        <f aca="false">ROUND($B$5*1.5*$A24^1.75/5,0)*5</f>
        <v>5905</v>
      </c>
      <c r="D24" s="14" t="n">
        <f aca="false">D23+C24</f>
        <v>24515</v>
      </c>
      <c r="E24" s="29" t="n">
        <f aca="false">$B$6*(1+$B$7*$A24)</f>
        <v>2.88</v>
      </c>
      <c r="F24" s="28" t="n">
        <f aca="false">IF($A24&gt;=3,$B$8+1,$B$8)</f>
        <v>4</v>
      </c>
      <c r="G24" s="28" t="n">
        <f aca="false">IF($A24&gt;=6,7,$B$9)</f>
        <v>7</v>
      </c>
      <c r="H24" s="28" t="n">
        <f aca="false">$B$10+5*MAX(0,MIN($A24,3)-1)</f>
        <v>38</v>
      </c>
      <c r="I24" s="28" t="n">
        <f aca="false">ROUNDUP(100/G24,0)</f>
        <v>15</v>
      </c>
      <c r="J24" s="31" t="n">
        <f aca="false">IF($A24&gt;=6,0.9,1.5)</f>
        <v>0.9</v>
      </c>
      <c r="K24" s="38" t="n">
        <f aca="false">IF($A24&gt;=10,0.2,0.05)</f>
        <v>0.2</v>
      </c>
      <c r="L24" s="12" t="s">
        <v>262</v>
      </c>
    </row>
    <row r="26" customFormat="false" ht="15" hidden="false" customHeight="true" outlineLevel="0" collapsed="false">
      <c r="A26" s="3" t="s">
        <v>263</v>
      </c>
    </row>
    <row r="27" customFormat="false" ht="15" hidden="false" customHeight="true" outlineLevel="0" collapsed="false">
      <c r="A27"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2" topLeftCell="B13" activePane="bottomRight" state="frozen"/>
      <selection pane="topLeft" activeCell="A1" activeCellId="0" sqref="A1"/>
      <selection pane="topRight" activeCell="B1" activeCellId="0" sqref="B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9" min="2" style="1" width="14"/>
    <col collapsed="false" customWidth="true" hidden="false" outlineLevel="0" max="10" min="10" style="1" width="62"/>
  </cols>
  <sheetData>
    <row r="1" customFormat="false" ht="21.75" hidden="false" customHeight="true" outlineLevel="0" collapsed="false">
      <c r="A1" s="2" t="s">
        <v>264</v>
      </c>
    </row>
    <row r="2" customFormat="false" ht="15" hidden="false" customHeight="true" outlineLevel="0" collapsed="false">
      <c r="A2" s="3" t="s">
        <v>265</v>
      </c>
    </row>
    <row r="4" customFormat="false" ht="15" hidden="false" customHeight="true" outlineLevel="0" collapsed="false">
      <c r="A4" s="6" t="s">
        <v>158</v>
      </c>
    </row>
    <row r="5" customFormat="false" ht="15" hidden="false" customHeight="true" outlineLevel="0" collapsed="false">
      <c r="A5" s="12" t="s">
        <v>159</v>
      </c>
      <c r="B5" s="22" t="n">
        <v>90</v>
      </c>
      <c r="C5" s="3" t="s">
        <v>160</v>
      </c>
    </row>
    <row r="6" customFormat="false" ht="15" hidden="false" customHeight="true" outlineLevel="0" collapsed="false">
      <c r="A6" s="12" t="s">
        <v>266</v>
      </c>
      <c r="B6" s="27" t="n">
        <v>0.08</v>
      </c>
      <c r="C6" s="3" t="s">
        <v>267</v>
      </c>
    </row>
    <row r="7" customFormat="false" ht="15" hidden="false" customHeight="true" outlineLevel="0" collapsed="false">
      <c r="A7" s="12" t="s">
        <v>138</v>
      </c>
      <c r="B7" s="26" t="n">
        <v>1</v>
      </c>
    </row>
    <row r="8" customFormat="false" ht="15" hidden="false" customHeight="true" outlineLevel="0" collapsed="false">
      <c r="A8" s="12" t="s">
        <v>268</v>
      </c>
      <c r="B8" s="27" t="n">
        <v>0.6</v>
      </c>
      <c r="C8" s="3" t="s">
        <v>269</v>
      </c>
    </row>
    <row r="9" customFormat="false" ht="15" hidden="false" customHeight="true" outlineLevel="0" collapsed="false">
      <c r="A9" s="12" t="s">
        <v>270</v>
      </c>
      <c r="B9" s="27" t="n">
        <v>0.04</v>
      </c>
      <c r="C9" s="3" t="s">
        <v>271</v>
      </c>
    </row>
    <row r="11" customFormat="false" ht="15" hidden="false" customHeight="true" outlineLevel="0" collapsed="false">
      <c r="A11" s="6" t="s">
        <v>172</v>
      </c>
    </row>
    <row r="12" customFormat="false" ht="42" hidden="false" customHeight="true" outlineLevel="0" collapsed="false">
      <c r="A12" s="11" t="s">
        <v>131</v>
      </c>
      <c r="B12" s="11" t="s">
        <v>173</v>
      </c>
      <c r="C12" s="11" t="s">
        <v>174</v>
      </c>
      <c r="D12" s="11" t="s">
        <v>141</v>
      </c>
      <c r="E12" s="11" t="s">
        <v>272</v>
      </c>
      <c r="F12" s="11" t="s">
        <v>273</v>
      </c>
      <c r="G12" s="11" t="s">
        <v>274</v>
      </c>
      <c r="H12" s="11" t="s">
        <v>275</v>
      </c>
      <c r="I12" s="11" t="s">
        <v>276</v>
      </c>
      <c r="J12" s="11" t="s">
        <v>181</v>
      </c>
    </row>
    <row r="13" customFormat="false" ht="15" hidden="false" customHeight="true" outlineLevel="0" collapsed="false">
      <c r="A13" s="16" t="n">
        <v>0</v>
      </c>
      <c r="B13" s="12" t="str">
        <f aca="false">IF($A13=0,"Uninstalled",IF($A13&lt;=3,"Initiated",IF($A13&lt;=6,"Masterwork",IF($A13&lt;=9,"Mythic","Legendary"))))</f>
        <v>Uninstalled</v>
      </c>
      <c r="C13" s="14"/>
      <c r="D13" s="14" t="n">
        <f aca="false">0</f>
        <v>0</v>
      </c>
      <c r="E13" s="40" t="n">
        <f aca="false">1+$B$6*$A13+0.03*($B$7-1)+IF($A13&gt;=5,0.05*$B$7,0)</f>
        <v>1</v>
      </c>
      <c r="F13" s="41" t="n">
        <f aca="false">IF($A13&gt;=3,2,1)</f>
        <v>1</v>
      </c>
      <c r="G13" s="28" t="n">
        <f aca="false">IF($A13&gt;=6,1,0)</f>
        <v>0</v>
      </c>
      <c r="H13" s="38" t="n">
        <f aca="false">IF($A13&gt;=10,0.25,IF($A13&gt;=9,0.15,0))</f>
        <v>0</v>
      </c>
      <c r="I13" s="38" t="n">
        <f aca="false">MIN(0.9,$B$8+$B$9*$A13)</f>
        <v>0.6</v>
      </c>
      <c r="J13" s="12"/>
    </row>
    <row r="14" customFormat="false" ht="15" hidden="false" customHeight="true" outlineLevel="0" collapsed="false">
      <c r="A14" s="24" t="n">
        <v>1</v>
      </c>
      <c r="B14" s="13" t="str">
        <f aca="false">IF($A14=0,"Uninstalled",IF($A14&lt;=3,"Initiated",IF($A14&lt;=6,"Masterwork",IF($A14&lt;=9,"Mythic","Legendary"))))</f>
        <v>Initiated</v>
      </c>
      <c r="C14" s="15" t="n">
        <f aca="false">ROUND($B$5*1.5*$A14^1.75/5,0)*5</f>
        <v>135</v>
      </c>
      <c r="D14" s="15" t="n">
        <f aca="false">D13+C14</f>
        <v>135</v>
      </c>
      <c r="E14" s="42" t="n">
        <f aca="false">1+$B$6*$A14+0.03*($B$7-1)+IF($A14&gt;=5,0.05*$B$7,0)</f>
        <v>1.08</v>
      </c>
      <c r="F14" s="43" t="n">
        <f aca="false">IF($A14&gt;=3,2,1)</f>
        <v>1</v>
      </c>
      <c r="G14" s="32" t="n">
        <f aca="false">IF($A14&gt;=6,1,0)</f>
        <v>0</v>
      </c>
      <c r="H14" s="39" t="n">
        <f aca="false">IF($A14&gt;=10,0.25,IF($A14&gt;=9,0.15,0))</f>
        <v>0</v>
      </c>
      <c r="I14" s="39" t="n">
        <f aca="false">MIN(0.9,$B$8+$B$9*$A14)</f>
        <v>0.64</v>
      </c>
      <c r="J14" s="13"/>
    </row>
    <row r="15" customFormat="false" ht="15" hidden="false" customHeight="true" outlineLevel="0" collapsed="false">
      <c r="A15" s="16" t="n">
        <v>2</v>
      </c>
      <c r="B15" s="12" t="str">
        <f aca="false">IF($A15=0,"Uninstalled",IF($A15&lt;=3,"Initiated",IF($A15&lt;=6,"Masterwork",IF($A15&lt;=9,"Mythic","Legendary"))))</f>
        <v>Initiated</v>
      </c>
      <c r="C15" s="14" t="n">
        <f aca="false">ROUND($B$5*1.5*$A15^1.75/5,0)*5</f>
        <v>455</v>
      </c>
      <c r="D15" s="14" t="n">
        <f aca="false">D14+C15</f>
        <v>590</v>
      </c>
      <c r="E15" s="40" t="n">
        <f aca="false">1+$B$6*$A15+0.03*($B$7-1)+IF($A15&gt;=5,0.05*$B$7,0)</f>
        <v>1.16</v>
      </c>
      <c r="F15" s="41" t="n">
        <f aca="false">IF($A15&gt;=3,2,1)</f>
        <v>1</v>
      </c>
      <c r="G15" s="28" t="n">
        <f aca="false">IF($A15&gt;=6,1,0)</f>
        <v>0</v>
      </c>
      <c r="H15" s="38" t="n">
        <f aca="false">IF($A15&gt;=10,0.25,IF($A15&gt;=9,0.15,0))</f>
        <v>0</v>
      </c>
      <c r="I15" s="38" t="n">
        <f aca="false">MIN(0.9,$B$8+$B$9*$A15)</f>
        <v>0.68</v>
      </c>
      <c r="J15" s="12"/>
    </row>
    <row r="16" customFormat="false" ht="15" hidden="false" customHeight="true" outlineLevel="0" collapsed="false">
      <c r="A16" s="24" t="n">
        <v>3</v>
      </c>
      <c r="B16" s="13" t="str">
        <f aca="false">IF($A16=0,"Uninstalled",IF($A16&lt;=3,"Initiated",IF($A16&lt;=6,"Masterwork",IF($A16&lt;=9,"Mythic","Legendary"))))</f>
        <v>Initiated</v>
      </c>
      <c r="C16" s="15" t="n">
        <f aca="false">ROUND($B$5*1.5*$A16^1.75/5,0)*5</f>
        <v>925</v>
      </c>
      <c r="D16" s="15" t="n">
        <f aca="false">D15+C16</f>
        <v>1515</v>
      </c>
      <c r="E16" s="42" t="n">
        <f aca="false">1+$B$6*$A16+0.03*($B$7-1)+IF($A16&gt;=5,0.05*$B$7,0)</f>
        <v>1.24</v>
      </c>
      <c r="F16" s="43" t="n">
        <f aca="false">IF($A16&gt;=3,2,1)</f>
        <v>2</v>
      </c>
      <c r="G16" s="32" t="n">
        <f aca="false">IF($A16&gt;=6,1,0)</f>
        <v>0</v>
      </c>
      <c r="H16" s="39" t="n">
        <f aca="false">IF($A16&gt;=10,0.25,IF($A16&gt;=9,0.15,0))</f>
        <v>0</v>
      </c>
      <c r="I16" s="39" t="n">
        <f aca="false">MIN(0.9,$B$8+$B$9*$A16)</f>
        <v>0.72</v>
      </c>
      <c r="J16" s="13" t="s">
        <v>277</v>
      </c>
    </row>
    <row r="17" customFormat="false" ht="15" hidden="false" customHeight="true" outlineLevel="0" collapsed="false">
      <c r="A17" s="16" t="n">
        <v>4</v>
      </c>
      <c r="B17" s="12" t="str">
        <f aca="false">IF($A17=0,"Uninstalled",IF($A17&lt;=3,"Initiated",IF($A17&lt;=6,"Masterwork",IF($A17&lt;=9,"Mythic","Legendary"))))</f>
        <v>Masterwork</v>
      </c>
      <c r="C17" s="14" t="n">
        <f aca="false">ROUND($B$5*1.5*$A17^1.75/5,0)*5</f>
        <v>1525</v>
      </c>
      <c r="D17" s="14" t="n">
        <f aca="false">D16+C17</f>
        <v>3040</v>
      </c>
      <c r="E17" s="40" t="n">
        <f aca="false">1+$B$6*$A17+0.03*($B$7-1)+IF($A17&gt;=5,0.05*$B$7,0)</f>
        <v>1.32</v>
      </c>
      <c r="F17" s="41" t="n">
        <f aca="false">IF($A17&gt;=3,2,1)</f>
        <v>2</v>
      </c>
      <c r="G17" s="28" t="n">
        <f aca="false">IF($A17&gt;=6,1,0)</f>
        <v>0</v>
      </c>
      <c r="H17" s="38" t="n">
        <f aca="false">IF($A17&gt;=10,0.25,IF($A17&gt;=9,0.15,0))</f>
        <v>0</v>
      </c>
      <c r="I17" s="38" t="n">
        <f aca="false">MIN(0.9,$B$8+$B$9*$A17)</f>
        <v>0.76</v>
      </c>
      <c r="J17" s="12"/>
    </row>
    <row r="18" customFormat="false" ht="15" hidden="false" customHeight="true" outlineLevel="0" collapsed="false">
      <c r="A18" s="24" t="n">
        <v>5</v>
      </c>
      <c r="B18" s="13" t="str">
        <f aca="false">IF($A18=0,"Uninstalled",IF($A18&lt;=3,"Initiated",IF($A18&lt;=6,"Masterwork",IF($A18&lt;=9,"Mythic","Legendary"))))</f>
        <v>Masterwork</v>
      </c>
      <c r="C18" s="15" t="n">
        <f aca="false">ROUND($B$5*1.5*$A18^1.75/5,0)*5</f>
        <v>2255</v>
      </c>
      <c r="D18" s="15" t="n">
        <f aca="false">D17+C18</f>
        <v>5295</v>
      </c>
      <c r="E18" s="42" t="n">
        <f aca="false">1+$B$6*$A18+0.03*($B$7-1)+IF($A18&gt;=5,0.05*$B$7,0)</f>
        <v>1.45</v>
      </c>
      <c r="F18" s="43" t="n">
        <f aca="false">IF($A18&gt;=3,2,1)</f>
        <v>2</v>
      </c>
      <c r="G18" s="32" t="n">
        <f aca="false">IF($A18&gt;=6,1,0)</f>
        <v>0</v>
      </c>
      <c r="H18" s="39" t="n">
        <f aca="false">IF($A18&gt;=10,0.25,IF($A18&gt;=9,0.15,0))</f>
        <v>0</v>
      </c>
      <c r="I18" s="39" t="n">
        <f aca="false">MIN(0.9,$B$8+$B$9*$A18)</f>
        <v>0.8</v>
      </c>
      <c r="J18" s="13" t="s">
        <v>278</v>
      </c>
    </row>
    <row r="19" customFormat="false" ht="15" hidden="false" customHeight="true" outlineLevel="0" collapsed="false">
      <c r="A19" s="16" t="n">
        <v>6</v>
      </c>
      <c r="B19" s="12" t="str">
        <f aca="false">IF($A19=0,"Uninstalled",IF($A19&lt;=3,"Initiated",IF($A19&lt;=6,"Masterwork",IF($A19&lt;=9,"Mythic","Legendary"))))</f>
        <v>Masterwork</v>
      </c>
      <c r="C19" s="14" t="n">
        <f aca="false">ROUND($B$5*1.5*$A19^1.75/5,0)*5</f>
        <v>3105</v>
      </c>
      <c r="D19" s="14" t="n">
        <f aca="false">D18+C19</f>
        <v>8400</v>
      </c>
      <c r="E19" s="40" t="n">
        <f aca="false">1+$B$6*$A19+0.03*($B$7-1)+IF($A19&gt;=5,0.05*$B$7,0)</f>
        <v>1.53</v>
      </c>
      <c r="F19" s="41" t="n">
        <f aca="false">IF($A19&gt;=3,2,1)</f>
        <v>2</v>
      </c>
      <c r="G19" s="28" t="n">
        <f aca="false">IF($A19&gt;=6,1,0)</f>
        <v>1</v>
      </c>
      <c r="H19" s="38" t="n">
        <f aca="false">IF($A19&gt;=10,0.25,IF($A19&gt;=9,0.15,0))</f>
        <v>0</v>
      </c>
      <c r="I19" s="38" t="n">
        <f aca="false">MIN(0.9,$B$8+$B$9*$A19)</f>
        <v>0.84</v>
      </c>
      <c r="J19" s="12" t="s">
        <v>279</v>
      </c>
    </row>
    <row r="20" customFormat="false" ht="15" hidden="false" customHeight="true" outlineLevel="0" collapsed="false">
      <c r="A20" s="24" t="n">
        <v>7</v>
      </c>
      <c r="B20" s="13" t="str">
        <f aca="false">IF($A20=0,"Uninstalled",IF($A20&lt;=3,"Initiated",IF($A20&lt;=6,"Masterwork",IF($A20&lt;=9,"Mythic","Legendary"))))</f>
        <v>Mythic</v>
      </c>
      <c r="C20" s="15" t="n">
        <f aca="false">ROUND($B$5*1.5*$A20^1.75/5,0)*5</f>
        <v>4065</v>
      </c>
      <c r="D20" s="15" t="n">
        <f aca="false">D19+C20</f>
        <v>12465</v>
      </c>
      <c r="E20" s="42" t="n">
        <f aca="false">1+$B$6*$A20+0.03*($B$7-1)+IF($A20&gt;=5,0.05*$B$7,0)</f>
        <v>1.61</v>
      </c>
      <c r="F20" s="43" t="n">
        <f aca="false">IF($A20&gt;=3,2,1)</f>
        <v>2</v>
      </c>
      <c r="G20" s="32" t="n">
        <f aca="false">IF($A20&gt;=6,1,0)</f>
        <v>1</v>
      </c>
      <c r="H20" s="39" t="n">
        <f aca="false">IF($A20&gt;=10,0.25,IF($A20&gt;=9,0.15,0))</f>
        <v>0</v>
      </c>
      <c r="I20" s="39" t="n">
        <f aca="false">MIN(0.9,$B$8+$B$9*$A20)</f>
        <v>0.88</v>
      </c>
      <c r="J20" s="13"/>
    </row>
    <row r="21" customFormat="false" ht="15" hidden="false" customHeight="true" outlineLevel="0" collapsed="false">
      <c r="A21" s="16" t="n">
        <v>8</v>
      </c>
      <c r="B21" s="12" t="str">
        <f aca="false">IF($A21=0,"Uninstalled",IF($A21&lt;=3,"Initiated",IF($A21&lt;=6,"Masterwork",IF($A21&lt;=9,"Mythic","Legendary"))))</f>
        <v>Mythic</v>
      </c>
      <c r="C21" s="14" t="n">
        <f aca="false">ROUND($B$5*1.5*$A21^1.75/5,0)*5</f>
        <v>5135</v>
      </c>
      <c r="D21" s="14" t="n">
        <f aca="false">D20+C21</f>
        <v>17600</v>
      </c>
      <c r="E21" s="40" t="n">
        <f aca="false">1+$B$6*$A21+0.03*($B$7-1)+IF($A21&gt;=5,0.05*$B$7,0)</f>
        <v>1.69</v>
      </c>
      <c r="F21" s="41" t="n">
        <f aca="false">IF($A21&gt;=3,2,1)</f>
        <v>2</v>
      </c>
      <c r="G21" s="28" t="n">
        <f aca="false">IF($A21&gt;=6,1,0)</f>
        <v>1</v>
      </c>
      <c r="H21" s="38" t="n">
        <f aca="false">IF($A21&gt;=10,0.25,IF($A21&gt;=9,0.15,0))</f>
        <v>0</v>
      </c>
      <c r="I21" s="38" t="n">
        <f aca="false">MIN(0.9,$B$8+$B$9*$A21)</f>
        <v>0.9</v>
      </c>
      <c r="J21" s="12"/>
    </row>
    <row r="22" customFormat="false" ht="15" hidden="false" customHeight="true" outlineLevel="0" collapsed="false">
      <c r="A22" s="24" t="n">
        <v>9</v>
      </c>
      <c r="B22" s="13" t="str">
        <f aca="false">IF($A22=0,"Uninstalled",IF($A22&lt;=3,"Initiated",IF($A22&lt;=6,"Masterwork",IF($A22&lt;=9,"Mythic","Legendary"))))</f>
        <v>Mythic</v>
      </c>
      <c r="C22" s="15" t="n">
        <f aca="false">ROUND($B$5*1.5*$A22^1.75/5,0)*5</f>
        <v>6315</v>
      </c>
      <c r="D22" s="15" t="n">
        <f aca="false">D21+C22</f>
        <v>23915</v>
      </c>
      <c r="E22" s="42" t="n">
        <f aca="false">1+$B$6*$A22+0.03*($B$7-1)+IF($A22&gt;=5,0.05*$B$7,0)</f>
        <v>1.77</v>
      </c>
      <c r="F22" s="43" t="n">
        <f aca="false">IF($A22&gt;=3,2,1)</f>
        <v>2</v>
      </c>
      <c r="G22" s="32" t="n">
        <f aca="false">IF($A22&gt;=6,1,0)</f>
        <v>1</v>
      </c>
      <c r="H22" s="39" t="n">
        <f aca="false">IF($A22&gt;=10,0.25,IF($A22&gt;=9,0.15,0))</f>
        <v>0.15</v>
      </c>
      <c r="I22" s="39" t="n">
        <f aca="false">MIN(0.9,$B$8+$B$9*$A22)</f>
        <v>0.9</v>
      </c>
      <c r="J22" s="13" t="s">
        <v>280</v>
      </c>
    </row>
    <row r="23" customFormat="false" ht="15" hidden="false" customHeight="true" outlineLevel="0" collapsed="false">
      <c r="A23" s="16" t="n">
        <v>10</v>
      </c>
      <c r="B23" s="12" t="str">
        <f aca="false">IF($A23=0,"Uninstalled",IF($A23&lt;=3,"Initiated",IF($A23&lt;=6,"Masterwork",IF($A23&lt;=9,"Mythic","Legendary"))))</f>
        <v>Legendary</v>
      </c>
      <c r="C23" s="14" t="n">
        <f aca="false">ROUND($B$5*1.5*$A23^1.75/5,0)*5</f>
        <v>7590</v>
      </c>
      <c r="D23" s="14" t="n">
        <f aca="false">D22+C23</f>
        <v>31505</v>
      </c>
      <c r="E23" s="40" t="n">
        <f aca="false">1+$B$6*$A23+0.03*($B$7-1)+IF($A23&gt;=5,0.05*$B$7,0)</f>
        <v>1.85</v>
      </c>
      <c r="F23" s="41" t="n">
        <f aca="false">IF($A23&gt;=3,2,1)</f>
        <v>2</v>
      </c>
      <c r="G23" s="28" t="n">
        <f aca="false">IF($A23&gt;=6,1,0)</f>
        <v>1</v>
      </c>
      <c r="H23" s="38" t="n">
        <f aca="false">IF($A23&gt;=10,0.25,IF($A23&gt;=9,0.15,0))</f>
        <v>0.25</v>
      </c>
      <c r="I23" s="38" t="n">
        <f aca="false">MIN(0.9,$B$8+$B$9*$A23)</f>
        <v>0.9</v>
      </c>
      <c r="J23" s="12" t="s">
        <v>281</v>
      </c>
    </row>
    <row r="25" customFormat="false" ht="15" hidden="false" customHeight="true" outlineLevel="0" collapsed="false">
      <c r="A25"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J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5" topLeftCell="B16" activePane="bottomRight" state="frozen"/>
      <selection pane="topLeft" activeCell="A1" activeCellId="0" sqref="A1"/>
      <selection pane="topRight" activeCell="B1" activeCellId="0" sqref="B1"/>
      <selection pane="bottomLeft" activeCell="A16" activeCellId="0" sqref="A1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9" min="2" style="1" width="14"/>
    <col collapsed="false" customWidth="true" hidden="false" outlineLevel="0" max="10" min="10" style="1" width="62"/>
  </cols>
  <sheetData>
    <row r="1" customFormat="false" ht="21.75" hidden="false" customHeight="true" outlineLevel="0" collapsed="false">
      <c r="A1" s="2" t="s">
        <v>282</v>
      </c>
    </row>
    <row r="2" customFormat="false" ht="15" hidden="false" customHeight="true" outlineLevel="0" collapsed="false">
      <c r="A2" s="3" t="s">
        <v>283</v>
      </c>
    </row>
    <row r="4" customFormat="false" ht="15" hidden="false" customHeight="true" outlineLevel="0" collapsed="false">
      <c r="A4" s="6" t="s">
        <v>158</v>
      </c>
    </row>
    <row r="5" customFormat="false" ht="15" hidden="false" customHeight="true" outlineLevel="0" collapsed="false">
      <c r="A5" s="12" t="s">
        <v>159</v>
      </c>
      <c r="B5" s="22" t="n">
        <v>100</v>
      </c>
      <c r="C5" s="3" t="s">
        <v>160</v>
      </c>
    </row>
    <row r="6" customFormat="false" ht="15" hidden="false" customHeight="true" outlineLevel="0" collapsed="false">
      <c r="A6" s="12" t="s">
        <v>284</v>
      </c>
      <c r="B6" s="26" t="n">
        <v>11</v>
      </c>
      <c r="C6" s="3" t="s">
        <v>285</v>
      </c>
    </row>
    <row r="7" customFormat="false" ht="15" hidden="false" customHeight="true" outlineLevel="0" collapsed="false">
      <c r="A7" s="12" t="s">
        <v>286</v>
      </c>
      <c r="B7" s="26" t="n">
        <v>30</v>
      </c>
      <c r="C7" s="3" t="s">
        <v>287</v>
      </c>
    </row>
    <row r="8" customFormat="false" ht="15" hidden="false" customHeight="true" outlineLevel="0" collapsed="false">
      <c r="A8" s="12" t="s">
        <v>288</v>
      </c>
      <c r="B8" s="27" t="n">
        <v>0.6</v>
      </c>
      <c r="C8" s="3" t="s">
        <v>289</v>
      </c>
    </row>
    <row r="9" customFormat="false" ht="15" hidden="false" customHeight="true" outlineLevel="0" collapsed="false">
      <c r="A9" s="12" t="s">
        <v>290</v>
      </c>
      <c r="B9" s="27" t="n">
        <v>0.10029</v>
      </c>
      <c r="C9" s="3" t="s">
        <v>291</v>
      </c>
    </row>
    <row r="10" customFormat="false" ht="15" hidden="false" customHeight="true" outlineLevel="0" collapsed="false">
      <c r="A10" s="12" t="s">
        <v>229</v>
      </c>
      <c r="B10" s="37" t="n">
        <v>2200</v>
      </c>
    </row>
    <row r="11" customFormat="false" ht="15" hidden="false" customHeight="true" outlineLevel="0" collapsed="false">
      <c r="A11" s="12" t="s">
        <v>230</v>
      </c>
      <c r="B11" s="37" t="n">
        <v>650</v>
      </c>
    </row>
    <row r="12" customFormat="false" ht="15" hidden="false" customHeight="true" outlineLevel="0" collapsed="false">
      <c r="A12" s="12" t="s">
        <v>231</v>
      </c>
      <c r="B12" s="37" t="n">
        <v>150</v>
      </c>
    </row>
    <row r="14" customFormat="false" ht="15" hidden="false" customHeight="true" outlineLevel="0" collapsed="false">
      <c r="A14" s="6" t="s">
        <v>172</v>
      </c>
    </row>
    <row r="15" customFormat="false" ht="42" hidden="false" customHeight="true" outlineLevel="0" collapsed="false">
      <c r="A15" s="11" t="s">
        <v>131</v>
      </c>
      <c r="B15" s="11" t="s">
        <v>173</v>
      </c>
      <c r="C15" s="11" t="s">
        <v>174</v>
      </c>
      <c r="D15" s="11" t="s">
        <v>141</v>
      </c>
      <c r="E15" s="11" t="s">
        <v>292</v>
      </c>
      <c r="F15" s="11" t="s">
        <v>293</v>
      </c>
      <c r="G15" s="11" t="s">
        <v>294</v>
      </c>
      <c r="H15" s="11" t="s">
        <v>180</v>
      </c>
      <c r="I15" s="11" t="s">
        <v>295</v>
      </c>
      <c r="J15" s="11" t="s">
        <v>181</v>
      </c>
    </row>
    <row r="16" customFormat="false" ht="15" hidden="false" customHeight="true" outlineLevel="0" collapsed="false">
      <c r="A16" s="16" t="n">
        <v>1</v>
      </c>
      <c r="B16" s="12" t="str">
        <f aca="false">IF($A16=0,"Uninstalled",IF($A16&lt;=3,"Initiated",IF($A16&lt;=6,"Masterwork",IF($A16&lt;=9,"Mythic","Legendary"))))</f>
        <v>Initiated</v>
      </c>
      <c r="C16" s="14" t="n">
        <f aca="false">$B$10</f>
        <v>2200</v>
      </c>
      <c r="D16" s="14" t="n">
        <f aca="false">0+C16</f>
        <v>2200</v>
      </c>
      <c r="E16" s="28" t="n">
        <f aca="false">$B$6-1+$A16</f>
        <v>11</v>
      </c>
      <c r="F16" s="28" t="n">
        <f aca="false">$B$7+3*($A16-1)</f>
        <v>30</v>
      </c>
      <c r="G16" s="44" t="n">
        <f aca="false">($B$8-0.1+0.1*$A16)*IF($A16&gt;=3,1.25,1)</f>
        <v>0.6</v>
      </c>
      <c r="H16" s="31" t="n">
        <f aca="false">G16/$B$9</f>
        <v>5.98265031408914</v>
      </c>
      <c r="I16" s="28" t="n">
        <f aca="false">3+INT($A16/3)</f>
        <v>3</v>
      </c>
      <c r="J16" s="12"/>
    </row>
    <row r="17" customFormat="false" ht="15" hidden="false" customHeight="true" outlineLevel="0" collapsed="false">
      <c r="A17" s="24" t="n">
        <v>2</v>
      </c>
      <c r="B17" s="13" t="str">
        <f aca="false">IF($A17=0,"Uninstalled",IF($A17&lt;=3,"Initiated",IF($A17&lt;=6,"Masterwork",IF($A17&lt;=9,"Mythic","Legendary"))))</f>
        <v>Initiated</v>
      </c>
      <c r="C17" s="15" t="n">
        <f aca="false">ROUND($B$5*1.5*$A17^1.75/5,0)*5</f>
        <v>505</v>
      </c>
      <c r="D17" s="15" t="n">
        <f aca="false">D16+C17</f>
        <v>2705</v>
      </c>
      <c r="E17" s="32" t="n">
        <f aca="false">$B$6-1+$A17</f>
        <v>12</v>
      </c>
      <c r="F17" s="32" t="n">
        <f aca="false">$B$7+3*($A17-1)</f>
        <v>33</v>
      </c>
      <c r="G17" s="45" t="n">
        <f aca="false">($B$8-0.1+0.1*$A17)*IF($A17&gt;=3,1.25,1)</f>
        <v>0.7</v>
      </c>
      <c r="H17" s="35" t="n">
        <f aca="false">G17/$B$9</f>
        <v>6.97975869977066</v>
      </c>
      <c r="I17" s="32" t="n">
        <f aca="false">3+INT($A17/3)</f>
        <v>3</v>
      </c>
      <c r="J17" s="13"/>
    </row>
    <row r="18" customFormat="false" ht="15" hidden="false" customHeight="true" outlineLevel="0" collapsed="false">
      <c r="A18" s="16" t="n">
        <v>3</v>
      </c>
      <c r="B18" s="12" t="str">
        <f aca="false">IF($A18=0,"Uninstalled",IF($A18&lt;=3,"Initiated",IF($A18&lt;=6,"Masterwork",IF($A18&lt;=9,"Mythic","Legendary"))))</f>
        <v>Initiated</v>
      </c>
      <c r="C18" s="14" t="n">
        <f aca="false">ROUND($B$5*1.5*$A18^1.75/5,0)*5</f>
        <v>1025</v>
      </c>
      <c r="D18" s="14" t="n">
        <f aca="false">D17+C18</f>
        <v>3730</v>
      </c>
      <c r="E18" s="28" t="n">
        <f aca="false">$B$6-1+$A18</f>
        <v>13</v>
      </c>
      <c r="F18" s="28" t="n">
        <f aca="false">$B$7+3*($A18-1)</f>
        <v>36</v>
      </c>
      <c r="G18" s="44" t="n">
        <f aca="false">($B$8-0.1+0.1*$A18)*IF($A18&gt;=3,1.25,1)</f>
        <v>1</v>
      </c>
      <c r="H18" s="31" t="n">
        <f aca="false">G18/$B$9</f>
        <v>9.97108385681524</v>
      </c>
      <c r="I18" s="28" t="n">
        <f aca="false">3+INT($A18/3)</f>
        <v>4</v>
      </c>
      <c r="J18" s="12" t="s">
        <v>296</v>
      </c>
    </row>
    <row r="19" customFormat="false" ht="15" hidden="false" customHeight="true" outlineLevel="0" collapsed="false">
      <c r="A19" s="24" t="n">
        <v>4</v>
      </c>
      <c r="B19" s="13" t="str">
        <f aca="false">IF($A19=0,"Uninstalled",IF($A19&lt;=3,"Initiated",IF($A19&lt;=6,"Masterwork",IF($A19&lt;=9,"Mythic","Legendary"))))</f>
        <v>Masterwork</v>
      </c>
      <c r="C19" s="15" t="n">
        <f aca="false">ROUND($B$5*1.5*$A19^1.75/5,0)*5</f>
        <v>1695</v>
      </c>
      <c r="D19" s="15" t="n">
        <f aca="false">D18+C19</f>
        <v>5425</v>
      </c>
      <c r="E19" s="32" t="n">
        <f aca="false">$B$6-1+$A19</f>
        <v>14</v>
      </c>
      <c r="F19" s="32" t="n">
        <f aca="false">$B$7+3*($A19-1)</f>
        <v>39</v>
      </c>
      <c r="G19" s="45" t="n">
        <f aca="false">($B$8-0.1+0.1*$A19)*IF($A19&gt;=3,1.25,1)</f>
        <v>1.125</v>
      </c>
      <c r="H19" s="35" t="n">
        <f aca="false">G19/$B$9</f>
        <v>11.2174693389171</v>
      </c>
      <c r="I19" s="32" t="n">
        <f aca="false">3+INT($A19/3)</f>
        <v>4</v>
      </c>
      <c r="J19" s="13"/>
    </row>
    <row r="20" customFormat="false" ht="15" hidden="false" customHeight="true" outlineLevel="0" collapsed="false">
      <c r="A20" s="16" t="n">
        <v>5</v>
      </c>
      <c r="B20" s="12" t="str">
        <f aca="false">IF($A20=0,"Uninstalled",IF($A20&lt;=3,"Initiated",IF($A20&lt;=6,"Masterwork",IF($A20&lt;=9,"Mythic","Legendary"))))</f>
        <v>Masterwork</v>
      </c>
      <c r="C20" s="14" t="n">
        <f aca="false">ROUND($B$5*1.5*$A20^1.75/5,0)*5</f>
        <v>2510</v>
      </c>
      <c r="D20" s="14" t="n">
        <f aca="false">D19+C20</f>
        <v>7935</v>
      </c>
      <c r="E20" s="28" t="n">
        <f aca="false">$B$6-1+$A20</f>
        <v>15</v>
      </c>
      <c r="F20" s="28" t="n">
        <f aca="false">$B$7+3*($A20-1)</f>
        <v>42</v>
      </c>
      <c r="G20" s="44" t="n">
        <f aca="false">($B$8-0.1+0.1*$A20)*IF($A20&gt;=3,1.25,1)</f>
        <v>1.25</v>
      </c>
      <c r="H20" s="31" t="n">
        <f aca="false">G20/$B$9</f>
        <v>12.463854821019</v>
      </c>
      <c r="I20" s="28" t="n">
        <f aca="false">3+INT($A20/3)</f>
        <v>4</v>
      </c>
      <c r="J20" s="12" t="s">
        <v>297</v>
      </c>
    </row>
    <row r="21" customFormat="false" ht="15" hidden="false" customHeight="true" outlineLevel="0" collapsed="false">
      <c r="A21" s="24" t="n">
        <v>6</v>
      </c>
      <c r="B21" s="13" t="str">
        <f aca="false">IF($A21=0,"Uninstalled",IF($A21&lt;=3,"Initiated",IF($A21&lt;=6,"Masterwork",IF($A21&lt;=9,"Mythic","Legendary"))))</f>
        <v>Masterwork</v>
      </c>
      <c r="C21" s="15" t="n">
        <f aca="false">ROUND($B$5*1.5*$A21^1.75/5,0)*5</f>
        <v>3450</v>
      </c>
      <c r="D21" s="15" t="n">
        <f aca="false">D20+C21</f>
        <v>11385</v>
      </c>
      <c r="E21" s="32" t="n">
        <f aca="false">$B$6-1+$A21</f>
        <v>16</v>
      </c>
      <c r="F21" s="32" t="n">
        <f aca="false">$B$7+3*($A21-1)</f>
        <v>45</v>
      </c>
      <c r="G21" s="45" t="n">
        <f aca="false">($B$8-0.1+0.1*$A21)*IF($A21&gt;=3,1.25,1)</f>
        <v>1.375</v>
      </c>
      <c r="H21" s="35" t="n">
        <f aca="false">G21/$B$9</f>
        <v>13.710240303121</v>
      </c>
      <c r="I21" s="32" t="n">
        <f aca="false">3+INT($A21/3)</f>
        <v>5</v>
      </c>
      <c r="J21" s="13" t="s">
        <v>298</v>
      </c>
    </row>
    <row r="22" customFormat="false" ht="15" hidden="false" customHeight="true" outlineLevel="0" collapsed="false">
      <c r="A22" s="16" t="n">
        <v>7</v>
      </c>
      <c r="B22" s="12" t="str">
        <f aca="false">IF($A22=0,"Uninstalled",IF($A22&lt;=3,"Initiated",IF($A22&lt;=6,"Masterwork",IF($A22&lt;=9,"Mythic","Legendary"))))</f>
        <v>Mythic</v>
      </c>
      <c r="C22" s="14" t="n">
        <f aca="false">ROUND($B$5*1.5*$A22^1.75/5,0)*5</f>
        <v>4520</v>
      </c>
      <c r="D22" s="14" t="n">
        <f aca="false">D21+C22</f>
        <v>15905</v>
      </c>
      <c r="E22" s="28" t="n">
        <f aca="false">$B$6-1+$A22</f>
        <v>17</v>
      </c>
      <c r="F22" s="28" t="n">
        <f aca="false">$B$7+3*($A22-1)</f>
        <v>48</v>
      </c>
      <c r="G22" s="44" t="n">
        <f aca="false">($B$8-0.1+0.1*$A22)*IF($A22&gt;=3,1.25,1)</f>
        <v>1.5</v>
      </c>
      <c r="H22" s="31" t="n">
        <f aca="false">G22/$B$9</f>
        <v>14.9566257852229</v>
      </c>
      <c r="I22" s="28" t="n">
        <f aca="false">3+INT($A22/3)</f>
        <v>5</v>
      </c>
      <c r="J22" s="12"/>
    </row>
    <row r="23" customFormat="false" ht="15" hidden="false" customHeight="true" outlineLevel="0" collapsed="false">
      <c r="A23" s="24" t="n">
        <v>8</v>
      </c>
      <c r="B23" s="13" t="str">
        <f aca="false">IF($A23=0,"Uninstalled",IF($A23&lt;=3,"Initiated",IF($A23&lt;=6,"Masterwork",IF($A23&lt;=9,"Mythic","Legendary"))))</f>
        <v>Mythic</v>
      </c>
      <c r="C23" s="15" t="n">
        <f aca="false">ROUND($B$5*1.5*$A23^1.75/5,0)*5</f>
        <v>5710</v>
      </c>
      <c r="D23" s="15" t="n">
        <f aca="false">D22+C23</f>
        <v>21615</v>
      </c>
      <c r="E23" s="32" t="n">
        <f aca="false">$B$6-1+$A23</f>
        <v>18</v>
      </c>
      <c r="F23" s="32" t="n">
        <f aca="false">$B$7+3*($A23-1)</f>
        <v>51</v>
      </c>
      <c r="G23" s="45" t="n">
        <f aca="false">($B$8-0.1+0.1*$A23)*IF($A23&gt;=3,1.25,1)</f>
        <v>1.625</v>
      </c>
      <c r="H23" s="35" t="n">
        <f aca="false">G23/$B$9</f>
        <v>16.2030112673248</v>
      </c>
      <c r="I23" s="32" t="n">
        <f aca="false">3+INT($A23/3)</f>
        <v>5</v>
      </c>
      <c r="J23" s="13"/>
    </row>
    <row r="24" customFormat="false" ht="15" hidden="false" customHeight="true" outlineLevel="0" collapsed="false">
      <c r="A24" s="16" t="n">
        <v>9</v>
      </c>
      <c r="B24" s="12" t="str">
        <f aca="false">IF($A24=0,"Uninstalled",IF($A24&lt;=3,"Initiated",IF($A24&lt;=6,"Masterwork",IF($A24&lt;=9,"Mythic","Legendary"))))</f>
        <v>Mythic</v>
      </c>
      <c r="C24" s="14" t="n">
        <f aca="false">ROUND($B$5*1.5*$A24^1.75/5,0)*5</f>
        <v>7015</v>
      </c>
      <c r="D24" s="14" t="n">
        <f aca="false">D23+C24</f>
        <v>28630</v>
      </c>
      <c r="E24" s="28" t="n">
        <f aca="false">$B$6-1+$A24</f>
        <v>19</v>
      </c>
      <c r="F24" s="28" t="n">
        <f aca="false">$B$7+3*($A24-1)</f>
        <v>54</v>
      </c>
      <c r="G24" s="44" t="n">
        <f aca="false">($B$8-0.1+0.1*$A24)*IF($A24&gt;=3,1.25,1)</f>
        <v>1.75</v>
      </c>
      <c r="H24" s="31" t="n">
        <f aca="false">G24/$B$9</f>
        <v>17.4493967494267</v>
      </c>
      <c r="I24" s="28" t="n">
        <f aca="false">3+INT($A24/3)</f>
        <v>6</v>
      </c>
      <c r="J24" s="12" t="s">
        <v>299</v>
      </c>
    </row>
    <row r="25" customFormat="false" ht="15" hidden="false" customHeight="true" outlineLevel="0" collapsed="false">
      <c r="A25" s="24" t="n">
        <v>10</v>
      </c>
      <c r="B25" s="13" t="str">
        <f aca="false">IF($A25=0,"Uninstalled",IF($A25&lt;=3,"Initiated",IF($A25&lt;=6,"Masterwork",IF($A25&lt;=9,"Mythic","Legendary"))))</f>
        <v>Legendary</v>
      </c>
      <c r="C25" s="15" t="n">
        <f aca="false">ROUND($B$5*1.5*$A25^1.75/5,0)*5</f>
        <v>8435</v>
      </c>
      <c r="D25" s="15" t="n">
        <f aca="false">D24+C25</f>
        <v>37065</v>
      </c>
      <c r="E25" s="32" t="n">
        <f aca="false">$B$6-1+$A25</f>
        <v>20</v>
      </c>
      <c r="F25" s="32" t="n">
        <f aca="false">$B$7+3*($A25-1)</f>
        <v>57</v>
      </c>
      <c r="G25" s="45" t="n">
        <f aca="false">($B$8-0.1+0.1*$A25)*IF($A25&gt;=3,1.25,1)</f>
        <v>1.875</v>
      </c>
      <c r="H25" s="35" t="n">
        <f aca="false">G25/$B$9</f>
        <v>18.6957822315286</v>
      </c>
      <c r="I25" s="32" t="n">
        <f aca="false">3+INT($A25/3)</f>
        <v>6</v>
      </c>
      <c r="J25" s="13" t="s">
        <v>300</v>
      </c>
    </row>
    <row r="27" customFormat="false" ht="15" hidden="false" customHeight="true" outlineLevel="0" collapsed="false">
      <c r="A27" s="3" t="s">
        <v>301</v>
      </c>
    </row>
    <row r="28" customFormat="false" ht="15" hidden="false" customHeight="true" outlineLevel="0" collapsed="false">
      <c r="A28"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7" min="2" style="1" width="14"/>
    <col collapsed="false" customWidth="true" hidden="false" outlineLevel="0" max="8" min="8" style="1" width="62"/>
  </cols>
  <sheetData>
    <row r="1" customFormat="false" ht="21.75" hidden="false" customHeight="true" outlineLevel="0" collapsed="false">
      <c r="A1" s="2" t="s">
        <v>302</v>
      </c>
    </row>
    <row r="2" customFormat="false" ht="15" hidden="false" customHeight="true" outlineLevel="0" collapsed="false">
      <c r="A2" s="3" t="s">
        <v>303</v>
      </c>
    </row>
    <row r="4" customFormat="false" ht="15" hidden="false" customHeight="true" outlineLevel="0" collapsed="false">
      <c r="A4" s="6" t="s">
        <v>158</v>
      </c>
    </row>
    <row r="5" customFormat="false" ht="15" hidden="false" customHeight="true" outlineLevel="0" collapsed="false">
      <c r="A5" s="12" t="s">
        <v>159</v>
      </c>
      <c r="B5" s="22" t="n">
        <v>80</v>
      </c>
      <c r="C5" s="3" t="s">
        <v>160</v>
      </c>
    </row>
    <row r="6" customFormat="false" ht="15" hidden="false" customHeight="true" outlineLevel="0" collapsed="false">
      <c r="A6" s="12" t="s">
        <v>304</v>
      </c>
      <c r="B6" s="26" t="n">
        <v>10</v>
      </c>
      <c r="C6" s="3" t="s">
        <v>305</v>
      </c>
    </row>
    <row r="7" customFormat="false" ht="15" hidden="false" customHeight="true" outlineLevel="0" collapsed="false">
      <c r="A7" s="12" t="s">
        <v>306</v>
      </c>
      <c r="B7" s="27" t="n">
        <v>0.04</v>
      </c>
    </row>
    <row r="8" customFormat="false" ht="15" hidden="false" customHeight="true" outlineLevel="0" collapsed="false">
      <c r="A8" s="12" t="s">
        <v>307</v>
      </c>
      <c r="B8" s="36" t="n">
        <v>6.5</v>
      </c>
      <c r="C8" s="3" t="s">
        <v>308</v>
      </c>
    </row>
    <row r="10" customFormat="false" ht="15" hidden="false" customHeight="true" outlineLevel="0" collapsed="false">
      <c r="A10" s="6" t="s">
        <v>172</v>
      </c>
    </row>
    <row r="11" customFormat="false" ht="42" hidden="false" customHeight="true" outlineLevel="0" collapsed="false">
      <c r="A11" s="11" t="s">
        <v>131</v>
      </c>
      <c r="B11" s="11" t="s">
        <v>173</v>
      </c>
      <c r="C11" s="11" t="s">
        <v>174</v>
      </c>
      <c r="D11" s="11" t="s">
        <v>141</v>
      </c>
      <c r="E11" s="11" t="s">
        <v>309</v>
      </c>
      <c r="F11" s="11" t="s">
        <v>307</v>
      </c>
      <c r="G11" s="11" t="s">
        <v>310</v>
      </c>
      <c r="H11" s="11" t="s">
        <v>181</v>
      </c>
    </row>
    <row r="12" customFormat="false" ht="15" hidden="false" customHeight="true" outlineLevel="0" collapsed="false">
      <c r="A12" s="16" t="n">
        <v>0</v>
      </c>
      <c r="B12" s="12" t="str">
        <f aca="false">IF($A12=0,"Uninstalled",IF($A12&lt;=3,"Initiated",IF($A12&lt;=6,"Masterwork",IF($A12&lt;=9,"Mythic","Legendary"))))</f>
        <v>Uninstalled</v>
      </c>
      <c r="C12" s="14"/>
      <c r="D12" s="14" t="n">
        <f aca="false">0</f>
        <v>0</v>
      </c>
      <c r="E12" s="29" t="n">
        <f aca="false">$B$6*(1-$B$7*$A12)</f>
        <v>10</v>
      </c>
      <c r="F12" s="31" t="n">
        <f aca="false">IF($A12&gt;=3,$B$8+1,$B$8)</f>
        <v>6.5</v>
      </c>
      <c r="G12" s="31" t="n">
        <f aca="false">60/E12</f>
        <v>6</v>
      </c>
      <c r="H12" s="12"/>
    </row>
    <row r="13" customFormat="false" ht="15" hidden="false" customHeight="true" outlineLevel="0" collapsed="false">
      <c r="A13" s="24" t="n">
        <v>1</v>
      </c>
      <c r="B13" s="13" t="str">
        <f aca="false">IF($A13=0,"Uninstalled",IF($A13&lt;=3,"Initiated",IF($A13&lt;=6,"Masterwork",IF($A13&lt;=9,"Mythic","Legendary"))))</f>
        <v>Initiated</v>
      </c>
      <c r="C13" s="15" t="n">
        <f aca="false">ROUND($B$5*1.5*$A13^1.75/5,0)*5</f>
        <v>120</v>
      </c>
      <c r="D13" s="15" t="n">
        <f aca="false">D12+C13</f>
        <v>120</v>
      </c>
      <c r="E13" s="33" t="n">
        <f aca="false">$B$6*(1-$B$7*$A13)</f>
        <v>9.6</v>
      </c>
      <c r="F13" s="35" t="n">
        <f aca="false">IF($A13&gt;=3,$B$8+1,$B$8)</f>
        <v>6.5</v>
      </c>
      <c r="G13" s="35" t="n">
        <f aca="false">60/E13</f>
        <v>6.25</v>
      </c>
      <c r="H13" s="13"/>
    </row>
    <row r="14" customFormat="false" ht="15" hidden="false" customHeight="true" outlineLevel="0" collapsed="false">
      <c r="A14" s="16" t="n">
        <v>2</v>
      </c>
      <c r="B14" s="12" t="str">
        <f aca="false">IF($A14=0,"Uninstalled",IF($A14&lt;=3,"Initiated",IF($A14&lt;=6,"Masterwork",IF($A14&lt;=9,"Mythic","Legendary"))))</f>
        <v>Initiated</v>
      </c>
      <c r="C14" s="14" t="n">
        <f aca="false">ROUND($B$5*1.5*$A14^1.75/5,0)*5</f>
        <v>405</v>
      </c>
      <c r="D14" s="14" t="n">
        <f aca="false">D13+C14</f>
        <v>525</v>
      </c>
      <c r="E14" s="29" t="n">
        <f aca="false">$B$6*(1-$B$7*$A14)</f>
        <v>9.2</v>
      </c>
      <c r="F14" s="31" t="n">
        <f aca="false">IF($A14&gt;=3,$B$8+1,$B$8)</f>
        <v>6.5</v>
      </c>
      <c r="G14" s="31" t="n">
        <f aca="false">60/E14</f>
        <v>6.52173913043478</v>
      </c>
      <c r="H14" s="12"/>
    </row>
    <row r="15" customFormat="false" ht="15" hidden="false" customHeight="true" outlineLevel="0" collapsed="false">
      <c r="A15" s="24" t="n">
        <v>3</v>
      </c>
      <c r="B15" s="13" t="str">
        <f aca="false">IF($A15=0,"Uninstalled",IF($A15&lt;=3,"Initiated",IF($A15&lt;=6,"Masterwork",IF($A15&lt;=9,"Mythic","Legendary"))))</f>
        <v>Initiated</v>
      </c>
      <c r="C15" s="15" t="n">
        <f aca="false">ROUND($B$5*1.5*$A15^1.75/5,0)*5</f>
        <v>820</v>
      </c>
      <c r="D15" s="15" t="n">
        <f aca="false">D14+C15</f>
        <v>1345</v>
      </c>
      <c r="E15" s="33" t="n">
        <f aca="false">$B$6*(1-$B$7*$A15)</f>
        <v>8.8</v>
      </c>
      <c r="F15" s="35" t="n">
        <f aca="false">IF($A15&gt;=3,$B$8+1,$B$8)</f>
        <v>7.5</v>
      </c>
      <c r="G15" s="35" t="n">
        <f aca="false">60/E15</f>
        <v>6.81818181818182</v>
      </c>
      <c r="H15" s="13" t="s">
        <v>311</v>
      </c>
    </row>
    <row r="16" customFormat="false" ht="15" hidden="false" customHeight="true" outlineLevel="0" collapsed="false">
      <c r="A16" s="16" t="n">
        <v>4</v>
      </c>
      <c r="B16" s="12" t="str">
        <f aca="false">IF($A16=0,"Uninstalled",IF($A16&lt;=3,"Initiated",IF($A16&lt;=6,"Masterwork",IF($A16&lt;=9,"Mythic","Legendary"))))</f>
        <v>Masterwork</v>
      </c>
      <c r="C16" s="14" t="n">
        <f aca="false">ROUND($B$5*1.5*$A16^1.75/5,0)*5</f>
        <v>1360</v>
      </c>
      <c r="D16" s="14" t="n">
        <f aca="false">D15+C16</f>
        <v>2705</v>
      </c>
      <c r="E16" s="29" t="n">
        <f aca="false">$B$6*(1-$B$7*$A16)</f>
        <v>8.4</v>
      </c>
      <c r="F16" s="31" t="n">
        <f aca="false">IF($A16&gt;=3,$B$8+1,$B$8)</f>
        <v>7.5</v>
      </c>
      <c r="G16" s="31" t="n">
        <f aca="false">60/E16</f>
        <v>7.14285714285714</v>
      </c>
      <c r="H16" s="12"/>
    </row>
    <row r="17" customFormat="false" ht="15" hidden="false" customHeight="true" outlineLevel="0" collapsed="false">
      <c r="A17" s="24" t="n">
        <v>5</v>
      </c>
      <c r="B17" s="13" t="str">
        <f aca="false">IF($A17=0,"Uninstalled",IF($A17&lt;=3,"Initiated",IF($A17&lt;=6,"Masterwork",IF($A17&lt;=9,"Mythic","Legendary"))))</f>
        <v>Masterwork</v>
      </c>
      <c r="C17" s="15" t="n">
        <f aca="false">ROUND($B$5*1.5*$A17^1.75/5,0)*5</f>
        <v>2005</v>
      </c>
      <c r="D17" s="15" t="n">
        <f aca="false">D16+C17</f>
        <v>4710</v>
      </c>
      <c r="E17" s="33" t="n">
        <f aca="false">$B$6*(1-$B$7*$A17)</f>
        <v>8</v>
      </c>
      <c r="F17" s="35" t="n">
        <f aca="false">IF($A17&gt;=3,$B$8+1,$B$8)</f>
        <v>7.5</v>
      </c>
      <c r="G17" s="35" t="n">
        <f aca="false">60/E17</f>
        <v>7.5</v>
      </c>
      <c r="H17" s="13" t="s">
        <v>312</v>
      </c>
    </row>
    <row r="18" customFormat="false" ht="15" hidden="false" customHeight="true" outlineLevel="0" collapsed="false">
      <c r="A18" s="16" t="n">
        <v>6</v>
      </c>
      <c r="B18" s="12" t="str">
        <f aca="false">IF($A18=0,"Uninstalled",IF($A18&lt;=3,"Initiated",IF($A18&lt;=6,"Masterwork",IF($A18&lt;=9,"Mythic","Legendary"))))</f>
        <v>Masterwork</v>
      </c>
      <c r="C18" s="14" t="n">
        <f aca="false">ROUND($B$5*1.5*$A18^1.75/5,0)*5</f>
        <v>2760</v>
      </c>
      <c r="D18" s="14" t="n">
        <f aca="false">D17+C18</f>
        <v>7470</v>
      </c>
      <c r="E18" s="29" t="n">
        <f aca="false">$B$6*(1-$B$7*$A18)</f>
        <v>7.6</v>
      </c>
      <c r="F18" s="31" t="n">
        <f aca="false">IF($A18&gt;=3,$B$8+1,$B$8)</f>
        <v>7.5</v>
      </c>
      <c r="G18" s="31" t="n">
        <f aca="false">60/E18</f>
        <v>7.89473684210526</v>
      </c>
      <c r="H18" s="12" t="s">
        <v>313</v>
      </c>
    </row>
    <row r="19" customFormat="false" ht="15" hidden="false" customHeight="true" outlineLevel="0" collapsed="false">
      <c r="A19" s="24" t="n">
        <v>7</v>
      </c>
      <c r="B19" s="13" t="str">
        <f aca="false">IF($A19=0,"Uninstalled",IF($A19&lt;=3,"Initiated",IF($A19&lt;=6,"Masterwork",IF($A19&lt;=9,"Mythic","Legendary"))))</f>
        <v>Mythic</v>
      </c>
      <c r="C19" s="15" t="n">
        <f aca="false">ROUND($B$5*1.5*$A19^1.75/5,0)*5</f>
        <v>3615</v>
      </c>
      <c r="D19" s="15" t="n">
        <f aca="false">D18+C19</f>
        <v>11085</v>
      </c>
      <c r="E19" s="33" t="n">
        <f aca="false">$B$6*(1-$B$7*$A19)</f>
        <v>7.2</v>
      </c>
      <c r="F19" s="35" t="n">
        <f aca="false">IF($A19&gt;=3,$B$8+1,$B$8)</f>
        <v>7.5</v>
      </c>
      <c r="G19" s="35" t="n">
        <f aca="false">60/E19</f>
        <v>8.33333333333333</v>
      </c>
      <c r="H19" s="13"/>
    </row>
    <row r="20" customFormat="false" ht="15" hidden="false" customHeight="true" outlineLevel="0" collapsed="false">
      <c r="A20" s="16" t="n">
        <v>8</v>
      </c>
      <c r="B20" s="12" t="str">
        <f aca="false">IF($A20=0,"Uninstalled",IF($A20&lt;=3,"Initiated",IF($A20&lt;=6,"Masterwork",IF($A20&lt;=9,"Mythic","Legendary"))))</f>
        <v>Mythic</v>
      </c>
      <c r="C20" s="14" t="n">
        <f aca="false">ROUND($B$5*1.5*$A20^1.75/5,0)*5</f>
        <v>4565</v>
      </c>
      <c r="D20" s="14" t="n">
        <f aca="false">D19+C20</f>
        <v>15650</v>
      </c>
      <c r="E20" s="29" t="n">
        <f aca="false">$B$6*(1-$B$7*$A20)</f>
        <v>6.8</v>
      </c>
      <c r="F20" s="31" t="n">
        <f aca="false">IF($A20&gt;=3,$B$8+1,$B$8)</f>
        <v>7.5</v>
      </c>
      <c r="G20" s="31" t="n">
        <f aca="false">60/E20</f>
        <v>8.82352941176471</v>
      </c>
      <c r="H20" s="12"/>
    </row>
    <row r="21" customFormat="false" ht="15" hidden="false" customHeight="true" outlineLevel="0" collapsed="false">
      <c r="A21" s="24" t="n">
        <v>9</v>
      </c>
      <c r="B21" s="13" t="str">
        <f aca="false">IF($A21=0,"Uninstalled",IF($A21&lt;=3,"Initiated",IF($A21&lt;=6,"Masterwork",IF($A21&lt;=9,"Mythic","Legendary"))))</f>
        <v>Mythic</v>
      </c>
      <c r="C21" s="15" t="n">
        <f aca="false">ROUND($B$5*1.5*$A21^1.75/5,0)*5</f>
        <v>5610</v>
      </c>
      <c r="D21" s="15" t="n">
        <f aca="false">D20+C21</f>
        <v>21260</v>
      </c>
      <c r="E21" s="33" t="n">
        <f aca="false">$B$6*(1-$B$7*$A21)</f>
        <v>6.4</v>
      </c>
      <c r="F21" s="35" t="n">
        <f aca="false">IF($A21&gt;=3,$B$8+1,$B$8)</f>
        <v>7.5</v>
      </c>
      <c r="G21" s="35" t="n">
        <f aca="false">60/E21</f>
        <v>9.375</v>
      </c>
      <c r="H21" s="13" t="s">
        <v>314</v>
      </c>
    </row>
    <row r="22" customFormat="false" ht="15" hidden="false" customHeight="true" outlineLevel="0" collapsed="false">
      <c r="A22" s="16" t="n">
        <v>10</v>
      </c>
      <c r="B22" s="12" t="str">
        <f aca="false">IF($A22=0,"Uninstalled",IF($A22&lt;=3,"Initiated",IF($A22&lt;=6,"Masterwork",IF($A22&lt;=9,"Mythic","Legendary"))))</f>
        <v>Legendary</v>
      </c>
      <c r="C22" s="14" t="n">
        <f aca="false">ROUND($B$5*1.5*$A22^1.75/5,0)*5</f>
        <v>6750</v>
      </c>
      <c r="D22" s="14" t="n">
        <f aca="false">D21+C22</f>
        <v>28010</v>
      </c>
      <c r="E22" s="29" t="n">
        <f aca="false">$B$6*(1-$B$7*$A22)</f>
        <v>6</v>
      </c>
      <c r="F22" s="31" t="n">
        <f aca="false">IF($A22&gt;=3,$B$8+1,$B$8)</f>
        <v>7.5</v>
      </c>
      <c r="G22" s="31" t="n">
        <f aca="false">60/E22</f>
        <v>10</v>
      </c>
      <c r="H22" s="12" t="s">
        <v>315</v>
      </c>
    </row>
    <row r="24" customFormat="false" ht="15" hidden="false" customHeight="true" outlineLevel="0" collapsed="false">
      <c r="A24" s="3" t="s">
        <v>316</v>
      </c>
    </row>
    <row r="25" customFormat="false" ht="15" hidden="false" customHeight="true" outlineLevel="0" collapsed="false">
      <c r="A25"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8" min="2" style="1" width="14"/>
    <col collapsed="false" customWidth="true" hidden="false" outlineLevel="0" max="9" min="9" style="1" width="62"/>
  </cols>
  <sheetData>
    <row r="1" customFormat="false" ht="21.75" hidden="false" customHeight="true" outlineLevel="0" collapsed="false">
      <c r="A1" s="2" t="s">
        <v>317</v>
      </c>
    </row>
    <row r="2" customFormat="false" ht="15" hidden="false" customHeight="true" outlineLevel="0" collapsed="false">
      <c r="A2" s="3" t="s">
        <v>318</v>
      </c>
    </row>
    <row r="4" customFormat="false" ht="15" hidden="false" customHeight="true" outlineLevel="0" collapsed="false">
      <c r="A4" s="6" t="s">
        <v>158</v>
      </c>
    </row>
    <row r="5" customFormat="false" ht="15" hidden="false" customHeight="true" outlineLevel="0" collapsed="false">
      <c r="A5" s="12" t="s">
        <v>159</v>
      </c>
      <c r="B5" s="22" t="n">
        <v>110</v>
      </c>
      <c r="C5" s="3" t="s">
        <v>160</v>
      </c>
    </row>
    <row r="6" customFormat="false" ht="15" hidden="false" customHeight="true" outlineLevel="0" collapsed="false">
      <c r="A6" s="12" t="s">
        <v>319</v>
      </c>
      <c r="B6" s="26" t="n">
        <v>8</v>
      </c>
      <c r="C6" s="3" t="s">
        <v>320</v>
      </c>
    </row>
    <row r="7" customFormat="false" ht="15" hidden="false" customHeight="true" outlineLevel="0" collapsed="false">
      <c r="A7" s="12" t="s">
        <v>321</v>
      </c>
      <c r="B7" s="36" t="n">
        <v>3.4</v>
      </c>
      <c r="C7" s="3" t="s">
        <v>322</v>
      </c>
    </row>
    <row r="8" customFormat="false" ht="15" hidden="false" customHeight="true" outlineLevel="0" collapsed="false">
      <c r="A8" s="12" t="s">
        <v>323</v>
      </c>
      <c r="B8" s="36" t="n">
        <v>4.5</v>
      </c>
      <c r="C8" s="3" t="s">
        <v>324</v>
      </c>
    </row>
    <row r="9" customFormat="false" ht="15" hidden="false" customHeight="true" outlineLevel="0" collapsed="false">
      <c r="A9" s="12" t="s">
        <v>229</v>
      </c>
      <c r="B9" s="37" t="n">
        <v>900</v>
      </c>
    </row>
    <row r="10" customFormat="false" ht="15" hidden="false" customHeight="true" outlineLevel="0" collapsed="false">
      <c r="A10" s="12" t="s">
        <v>230</v>
      </c>
      <c r="B10" s="37" t="n">
        <v>250</v>
      </c>
    </row>
    <row r="11" customFormat="false" ht="15" hidden="false" customHeight="true" outlineLevel="0" collapsed="false">
      <c r="A11" s="12" t="s">
        <v>231</v>
      </c>
      <c r="B11" s="37" t="n">
        <v>110</v>
      </c>
    </row>
    <row r="13" customFormat="false" ht="15" hidden="false" customHeight="true" outlineLevel="0" collapsed="false">
      <c r="A13" s="6" t="s">
        <v>172</v>
      </c>
    </row>
    <row r="14" customFormat="false" ht="42" hidden="false" customHeight="true" outlineLevel="0" collapsed="false">
      <c r="A14" s="11" t="s">
        <v>131</v>
      </c>
      <c r="B14" s="11" t="s">
        <v>173</v>
      </c>
      <c r="C14" s="11" t="s">
        <v>174</v>
      </c>
      <c r="D14" s="11" t="s">
        <v>141</v>
      </c>
      <c r="E14" s="11" t="s">
        <v>325</v>
      </c>
      <c r="F14" s="11" t="s">
        <v>321</v>
      </c>
      <c r="G14" s="11" t="s">
        <v>326</v>
      </c>
      <c r="H14" s="11" t="s">
        <v>327</v>
      </c>
      <c r="I14" s="11" t="s">
        <v>181</v>
      </c>
    </row>
    <row r="15" customFormat="false" ht="15" hidden="false" customHeight="true" outlineLevel="0" collapsed="false">
      <c r="A15" s="16" t="n">
        <v>1</v>
      </c>
      <c r="B15" s="12" t="str">
        <f aca="false">IF($A15=0,"Uninstalled",IF($A15&lt;=3,"Initiated",IF($A15&lt;=6,"Masterwork",IF($A15&lt;=9,"Mythic","Legendary"))))</f>
        <v>Initiated</v>
      </c>
      <c r="C15" s="14" t="n">
        <f aca="false">ROUND($B$5*1.5*$A15^1.75/5,0)*5</f>
        <v>165</v>
      </c>
      <c r="D15" s="14" t="n">
        <f aca="false">0+C15</f>
        <v>165</v>
      </c>
      <c r="E15" s="31" t="n">
        <f aca="false">$B$6+0.5*($A15-1)</f>
        <v>8</v>
      </c>
      <c r="F15" s="29" t="n">
        <f aca="false">$B$7*IF($A15&gt;=3,1.2,1)</f>
        <v>3.4</v>
      </c>
      <c r="G15" s="29" t="n">
        <f aca="false">$B$8*(1+0.05*($A15-1))</f>
        <v>4.5</v>
      </c>
      <c r="H15" s="28" t="n">
        <f aca="false">IF($A15&gt;=6,3,2)</f>
        <v>2</v>
      </c>
      <c r="I15" s="12"/>
    </row>
    <row r="16" customFormat="false" ht="15" hidden="false" customHeight="true" outlineLevel="0" collapsed="false">
      <c r="A16" s="24" t="n">
        <v>2</v>
      </c>
      <c r="B16" s="13" t="str">
        <f aca="false">IF($A16=0,"Uninstalled",IF($A16&lt;=3,"Initiated",IF($A16&lt;=6,"Masterwork",IF($A16&lt;=9,"Mythic","Legendary"))))</f>
        <v>Initiated</v>
      </c>
      <c r="C16" s="15" t="n">
        <f aca="false">ROUND($B$5*1.5*$A16^1.75/5,0)*5</f>
        <v>555</v>
      </c>
      <c r="D16" s="15" t="n">
        <f aca="false">D15+C16</f>
        <v>720</v>
      </c>
      <c r="E16" s="35" t="n">
        <f aca="false">$B$6+0.5*($A16-1)</f>
        <v>8.5</v>
      </c>
      <c r="F16" s="33" t="n">
        <f aca="false">$B$7*IF($A16&gt;=3,1.2,1)</f>
        <v>3.4</v>
      </c>
      <c r="G16" s="33" t="n">
        <f aca="false">$B$8*(1+0.05*($A16-1))</f>
        <v>4.725</v>
      </c>
      <c r="H16" s="32" t="n">
        <f aca="false">IF($A16&gt;=6,3,2)</f>
        <v>2</v>
      </c>
      <c r="I16" s="13"/>
    </row>
    <row r="17" customFormat="false" ht="15" hidden="false" customHeight="true" outlineLevel="0" collapsed="false">
      <c r="A17" s="16" t="n">
        <v>3</v>
      </c>
      <c r="B17" s="12" t="str">
        <f aca="false">IF($A17=0,"Uninstalled",IF($A17&lt;=3,"Initiated",IF($A17&lt;=6,"Masterwork",IF($A17&lt;=9,"Mythic","Legendary"))))</f>
        <v>Initiated</v>
      </c>
      <c r="C17" s="14" t="n">
        <f aca="false">ROUND($B$5*1.5*$A17^1.75/5,0)*5</f>
        <v>1130</v>
      </c>
      <c r="D17" s="14" t="n">
        <f aca="false">D16+C17</f>
        <v>1850</v>
      </c>
      <c r="E17" s="31" t="n">
        <f aca="false">$B$6+0.5*($A17-1)</f>
        <v>9</v>
      </c>
      <c r="F17" s="29" t="n">
        <f aca="false">$B$7*IF($A17&gt;=3,1.2,1)</f>
        <v>4.08</v>
      </c>
      <c r="G17" s="29" t="n">
        <f aca="false">$B$8*(1+0.05*($A17-1))</f>
        <v>4.95</v>
      </c>
      <c r="H17" s="28" t="n">
        <f aca="false">IF($A17&gt;=6,3,2)</f>
        <v>2</v>
      </c>
      <c r="I17" s="12" t="s">
        <v>328</v>
      </c>
    </row>
    <row r="18" customFormat="false" ht="15" hidden="false" customHeight="true" outlineLevel="0" collapsed="false">
      <c r="A18" s="24" t="n">
        <v>4</v>
      </c>
      <c r="B18" s="13" t="str">
        <f aca="false">IF($A18=0,"Uninstalled",IF($A18&lt;=3,"Initiated",IF($A18&lt;=6,"Masterwork",IF($A18&lt;=9,"Mythic","Legendary"))))</f>
        <v>Masterwork</v>
      </c>
      <c r="C18" s="15" t="n">
        <f aca="false">ROUND($B$5*1.5*$A18^1.75/5,0)*5</f>
        <v>1865</v>
      </c>
      <c r="D18" s="15" t="n">
        <f aca="false">D17+C18</f>
        <v>3715</v>
      </c>
      <c r="E18" s="35" t="n">
        <f aca="false">$B$6+0.5*($A18-1)</f>
        <v>9.5</v>
      </c>
      <c r="F18" s="33" t="n">
        <f aca="false">$B$7*IF($A18&gt;=3,1.2,1)</f>
        <v>4.08</v>
      </c>
      <c r="G18" s="33" t="n">
        <f aca="false">$B$8*(1+0.05*($A18-1))</f>
        <v>5.175</v>
      </c>
      <c r="H18" s="32" t="n">
        <f aca="false">IF($A18&gt;=6,3,2)</f>
        <v>2</v>
      </c>
      <c r="I18" s="13"/>
    </row>
    <row r="19" customFormat="false" ht="15" hidden="false" customHeight="true" outlineLevel="0" collapsed="false">
      <c r="A19" s="16" t="n">
        <v>5</v>
      </c>
      <c r="B19" s="12" t="str">
        <f aca="false">IF($A19=0,"Uninstalled",IF($A19&lt;=3,"Initiated",IF($A19&lt;=6,"Masterwork",IF($A19&lt;=9,"Mythic","Legendary"))))</f>
        <v>Masterwork</v>
      </c>
      <c r="C19" s="14" t="n">
        <f aca="false">ROUND($B$5*1.5*$A19^1.75/5,0)*5</f>
        <v>2760</v>
      </c>
      <c r="D19" s="14" t="n">
        <f aca="false">D18+C19</f>
        <v>6475</v>
      </c>
      <c r="E19" s="31" t="n">
        <f aca="false">$B$6+0.5*($A19-1)</f>
        <v>10</v>
      </c>
      <c r="F19" s="29" t="n">
        <f aca="false">$B$7*IF($A19&gt;=3,1.2,1)</f>
        <v>4.08</v>
      </c>
      <c r="G19" s="29" t="n">
        <f aca="false">$B$8*(1+0.05*($A19-1))</f>
        <v>5.4</v>
      </c>
      <c r="H19" s="28" t="n">
        <f aca="false">IF($A19&gt;=6,3,2)</f>
        <v>2</v>
      </c>
      <c r="I19" s="12" t="s">
        <v>329</v>
      </c>
    </row>
    <row r="20" customFormat="false" ht="15" hidden="false" customHeight="true" outlineLevel="0" collapsed="false">
      <c r="A20" s="24" t="n">
        <v>6</v>
      </c>
      <c r="B20" s="13" t="str">
        <f aca="false">IF($A20=0,"Uninstalled",IF($A20&lt;=3,"Initiated",IF($A20&lt;=6,"Masterwork",IF($A20&lt;=9,"Mythic","Legendary"))))</f>
        <v>Masterwork</v>
      </c>
      <c r="C20" s="15" t="n">
        <f aca="false">ROUND($B$5*1.5*$A20^1.75/5,0)*5</f>
        <v>3795</v>
      </c>
      <c r="D20" s="15" t="n">
        <f aca="false">D19+C20</f>
        <v>10270</v>
      </c>
      <c r="E20" s="35" t="n">
        <f aca="false">$B$6+0.5*($A20-1)</f>
        <v>10.5</v>
      </c>
      <c r="F20" s="33" t="n">
        <f aca="false">$B$7*IF($A20&gt;=3,1.2,1)</f>
        <v>4.08</v>
      </c>
      <c r="G20" s="33" t="n">
        <f aca="false">$B$8*(1+0.05*($A20-1))</f>
        <v>5.625</v>
      </c>
      <c r="H20" s="32" t="n">
        <f aca="false">IF($A20&gt;=6,3,2)</f>
        <v>3</v>
      </c>
      <c r="I20" s="13" t="s">
        <v>330</v>
      </c>
    </row>
    <row r="21" customFormat="false" ht="15" hidden="false" customHeight="true" outlineLevel="0" collapsed="false">
      <c r="A21" s="16" t="n">
        <v>7</v>
      </c>
      <c r="B21" s="12" t="str">
        <f aca="false">IF($A21=0,"Uninstalled",IF($A21&lt;=3,"Initiated",IF($A21&lt;=6,"Masterwork",IF($A21&lt;=9,"Mythic","Legendary"))))</f>
        <v>Mythic</v>
      </c>
      <c r="C21" s="14" t="n">
        <f aca="false">ROUND($B$5*1.5*$A21^1.75/5,0)*5</f>
        <v>4970</v>
      </c>
      <c r="D21" s="14" t="n">
        <f aca="false">D20+C21</f>
        <v>15240</v>
      </c>
      <c r="E21" s="31" t="n">
        <f aca="false">$B$6+0.5*($A21-1)</f>
        <v>11</v>
      </c>
      <c r="F21" s="29" t="n">
        <f aca="false">$B$7*IF($A21&gt;=3,1.2,1)</f>
        <v>4.08</v>
      </c>
      <c r="G21" s="29" t="n">
        <f aca="false">$B$8*(1+0.05*($A21-1))</f>
        <v>5.85</v>
      </c>
      <c r="H21" s="28" t="n">
        <f aca="false">IF($A21&gt;=6,3,2)</f>
        <v>3</v>
      </c>
      <c r="I21" s="12"/>
    </row>
    <row r="22" customFormat="false" ht="15" hidden="false" customHeight="true" outlineLevel="0" collapsed="false">
      <c r="A22" s="24" t="n">
        <v>8</v>
      </c>
      <c r="B22" s="13" t="str">
        <f aca="false">IF($A22=0,"Uninstalled",IF($A22&lt;=3,"Initiated",IF($A22&lt;=6,"Masterwork",IF($A22&lt;=9,"Mythic","Legendary"))))</f>
        <v>Mythic</v>
      </c>
      <c r="C22" s="15" t="n">
        <f aca="false">ROUND($B$5*1.5*$A22^1.75/5,0)*5</f>
        <v>6280</v>
      </c>
      <c r="D22" s="15" t="n">
        <f aca="false">D21+C22</f>
        <v>21520</v>
      </c>
      <c r="E22" s="35" t="n">
        <f aca="false">$B$6+0.5*($A22-1)</f>
        <v>11.5</v>
      </c>
      <c r="F22" s="33" t="n">
        <f aca="false">$B$7*IF($A22&gt;=3,1.2,1)</f>
        <v>4.08</v>
      </c>
      <c r="G22" s="33" t="n">
        <f aca="false">$B$8*(1+0.05*($A22-1))</f>
        <v>6.075</v>
      </c>
      <c r="H22" s="32" t="n">
        <f aca="false">IF($A22&gt;=6,3,2)</f>
        <v>3</v>
      </c>
      <c r="I22" s="13"/>
    </row>
    <row r="23" customFormat="false" ht="15" hidden="false" customHeight="true" outlineLevel="0" collapsed="false">
      <c r="A23" s="16" t="n">
        <v>9</v>
      </c>
      <c r="B23" s="12" t="str">
        <f aca="false">IF($A23=0,"Uninstalled",IF($A23&lt;=3,"Initiated",IF($A23&lt;=6,"Masterwork",IF($A23&lt;=9,"Mythic","Legendary"))))</f>
        <v>Mythic</v>
      </c>
      <c r="C23" s="14" t="n">
        <f aca="false">ROUND($B$5*1.5*$A23^1.75/5,0)*5</f>
        <v>7715</v>
      </c>
      <c r="D23" s="14" t="n">
        <f aca="false">D22+C23</f>
        <v>29235</v>
      </c>
      <c r="E23" s="31" t="n">
        <f aca="false">$B$6+0.5*($A23-1)</f>
        <v>12</v>
      </c>
      <c r="F23" s="29" t="n">
        <f aca="false">$B$7*IF($A23&gt;=3,1.2,1)</f>
        <v>4.08</v>
      </c>
      <c r="G23" s="29" t="n">
        <f aca="false">$B$8*(1+0.05*($A23-1))</f>
        <v>6.3</v>
      </c>
      <c r="H23" s="28" t="n">
        <f aca="false">IF($A23&gt;=6,3,2)</f>
        <v>3</v>
      </c>
      <c r="I23" s="12" t="s">
        <v>331</v>
      </c>
    </row>
    <row r="24" customFormat="false" ht="15" hidden="false" customHeight="true" outlineLevel="0" collapsed="false">
      <c r="A24" s="24" t="n">
        <v>10</v>
      </c>
      <c r="B24" s="13" t="str">
        <f aca="false">IF($A24=0,"Uninstalled",IF($A24&lt;=3,"Initiated",IF($A24&lt;=6,"Masterwork",IF($A24&lt;=9,"Mythic","Legendary"))))</f>
        <v>Legendary</v>
      </c>
      <c r="C24" s="15" t="n">
        <f aca="false">ROUND($B$5*1.5*$A24^1.75/5,0)*5</f>
        <v>9280</v>
      </c>
      <c r="D24" s="15" t="n">
        <f aca="false">D23+C24</f>
        <v>38515</v>
      </c>
      <c r="E24" s="35" t="n">
        <f aca="false">$B$6+0.5*($A24-1)</f>
        <v>12.5</v>
      </c>
      <c r="F24" s="33" t="n">
        <f aca="false">$B$7*IF($A24&gt;=3,1.2,1)</f>
        <v>4.08</v>
      </c>
      <c r="G24" s="33" t="n">
        <f aca="false">$B$8*(1+0.05*($A24-1))</f>
        <v>6.525</v>
      </c>
      <c r="H24" s="32" t="n">
        <f aca="false">IF($A24&gt;=6,3,2)</f>
        <v>3</v>
      </c>
      <c r="I24" s="13" t="s">
        <v>332</v>
      </c>
    </row>
    <row r="26" customFormat="false" ht="15" hidden="false" customHeight="true" outlineLevel="0" collapsed="false">
      <c r="A26"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7" min="2" style="1" width="14"/>
    <col collapsed="false" customWidth="true" hidden="false" outlineLevel="0" max="8" min="8" style="1" width="62"/>
  </cols>
  <sheetData>
    <row r="1" customFormat="false" ht="21.75" hidden="false" customHeight="true" outlineLevel="0" collapsed="false">
      <c r="A1" s="2" t="s">
        <v>333</v>
      </c>
    </row>
    <row r="2" customFormat="false" ht="15" hidden="false" customHeight="true" outlineLevel="0" collapsed="false">
      <c r="A2" s="3" t="s">
        <v>334</v>
      </c>
    </row>
    <row r="4" customFormat="false" ht="15" hidden="false" customHeight="true" outlineLevel="0" collapsed="false">
      <c r="A4" s="6" t="s">
        <v>158</v>
      </c>
    </row>
    <row r="5" customFormat="false" ht="15" hidden="false" customHeight="true" outlineLevel="0" collapsed="false">
      <c r="A5" s="12" t="s">
        <v>159</v>
      </c>
      <c r="B5" s="22" t="n">
        <v>130</v>
      </c>
      <c r="C5" s="3" t="s">
        <v>160</v>
      </c>
    </row>
    <row r="6" customFormat="false" ht="15" hidden="false" customHeight="true" outlineLevel="0" collapsed="false">
      <c r="A6" s="12" t="s">
        <v>335</v>
      </c>
      <c r="B6" s="26" t="n">
        <v>6</v>
      </c>
      <c r="C6" s="3" t="s">
        <v>336</v>
      </c>
    </row>
    <row r="7" customFormat="false" ht="15" hidden="false" customHeight="true" outlineLevel="0" collapsed="false">
      <c r="A7" s="12" t="s">
        <v>337</v>
      </c>
      <c r="B7" s="26" t="n">
        <v>12</v>
      </c>
      <c r="C7" s="3" t="s">
        <v>338</v>
      </c>
    </row>
    <row r="8" customFormat="false" ht="15" hidden="false" customHeight="true" outlineLevel="0" collapsed="false">
      <c r="A8" s="12" t="s">
        <v>339</v>
      </c>
      <c r="B8" s="26" t="n">
        <v>2</v>
      </c>
      <c r="C8" s="3" t="s">
        <v>340</v>
      </c>
    </row>
    <row r="9" customFormat="false" ht="15" hidden="false" customHeight="true" outlineLevel="0" collapsed="false">
      <c r="A9" s="12" t="s">
        <v>229</v>
      </c>
      <c r="B9" s="37" t="n">
        <v>3500</v>
      </c>
    </row>
    <row r="10" customFormat="false" ht="15" hidden="false" customHeight="true" outlineLevel="0" collapsed="false">
      <c r="A10" s="12" t="s">
        <v>230</v>
      </c>
      <c r="B10" s="37" t="n">
        <v>950</v>
      </c>
    </row>
    <row r="11" customFormat="false" ht="15" hidden="false" customHeight="true" outlineLevel="0" collapsed="false">
      <c r="A11" s="12" t="s">
        <v>231</v>
      </c>
      <c r="B11" s="37" t="n">
        <v>140</v>
      </c>
    </row>
    <row r="13" customFormat="false" ht="15" hidden="false" customHeight="true" outlineLevel="0" collapsed="false">
      <c r="A13" s="6" t="s">
        <v>172</v>
      </c>
    </row>
    <row r="14" customFormat="false" ht="42" hidden="false" customHeight="true" outlineLevel="0" collapsed="false">
      <c r="A14" s="11" t="s">
        <v>131</v>
      </c>
      <c r="B14" s="11" t="s">
        <v>173</v>
      </c>
      <c r="C14" s="11" t="s">
        <v>174</v>
      </c>
      <c r="D14" s="11" t="s">
        <v>141</v>
      </c>
      <c r="E14" s="11" t="s">
        <v>341</v>
      </c>
      <c r="F14" s="11" t="s">
        <v>337</v>
      </c>
      <c r="G14" s="11" t="s">
        <v>339</v>
      </c>
      <c r="H14" s="11" t="s">
        <v>181</v>
      </c>
    </row>
    <row r="15" customFormat="false" ht="15" hidden="false" customHeight="true" outlineLevel="0" collapsed="false">
      <c r="A15" s="16" t="n">
        <v>1</v>
      </c>
      <c r="B15" s="12" t="str">
        <f aca="false">IF($A15=0,"Uninstalled",IF($A15&lt;=3,"Initiated",IF($A15&lt;=6,"Masterwork",IF($A15&lt;=9,"Mythic","Legendary"))))</f>
        <v>Initiated</v>
      </c>
      <c r="C15" s="14" t="n">
        <f aca="false">ROUND($B$5*1.5*$A15^1.75/5,0)*5</f>
        <v>195</v>
      </c>
      <c r="D15" s="14" t="n">
        <f aca="false">0+C15</f>
        <v>195</v>
      </c>
      <c r="E15" s="31" t="n">
        <f aca="false">$B$6+0.4*($A15-1)</f>
        <v>6</v>
      </c>
      <c r="F15" s="31" t="n">
        <f aca="false">$B$7*IF($A15&gt;=6,1.3,1)</f>
        <v>12</v>
      </c>
      <c r="G15" s="28" t="n">
        <f aca="false">IF($A15&gt;=3,$B$8+1,$B$8)</f>
        <v>2</v>
      </c>
      <c r="H15" s="12"/>
    </row>
    <row r="16" customFormat="false" ht="15" hidden="false" customHeight="true" outlineLevel="0" collapsed="false">
      <c r="A16" s="24" t="n">
        <v>2</v>
      </c>
      <c r="B16" s="13" t="str">
        <f aca="false">IF($A16=0,"Uninstalled",IF($A16&lt;=3,"Initiated",IF($A16&lt;=6,"Masterwork",IF($A16&lt;=9,"Mythic","Legendary"))))</f>
        <v>Initiated</v>
      </c>
      <c r="C16" s="15" t="n">
        <f aca="false">ROUND($B$5*1.5*$A16^1.75/5,0)*5</f>
        <v>655</v>
      </c>
      <c r="D16" s="15" t="n">
        <f aca="false">D15+C16</f>
        <v>850</v>
      </c>
      <c r="E16" s="35" t="n">
        <f aca="false">$B$6+0.4*($A16-1)</f>
        <v>6.4</v>
      </c>
      <c r="F16" s="35" t="n">
        <f aca="false">$B$7*IF($A16&gt;=6,1.3,1)</f>
        <v>12</v>
      </c>
      <c r="G16" s="32" t="n">
        <f aca="false">IF($A16&gt;=3,$B$8+1,$B$8)</f>
        <v>2</v>
      </c>
      <c r="H16" s="13"/>
    </row>
    <row r="17" customFormat="false" ht="15" hidden="false" customHeight="true" outlineLevel="0" collapsed="false">
      <c r="A17" s="16" t="n">
        <v>3</v>
      </c>
      <c r="B17" s="12" t="str">
        <f aca="false">IF($A17=0,"Uninstalled",IF($A17&lt;=3,"Initiated",IF($A17&lt;=6,"Masterwork",IF($A17&lt;=9,"Mythic","Legendary"))))</f>
        <v>Initiated</v>
      </c>
      <c r="C17" s="14" t="n">
        <f aca="false">ROUND($B$5*1.5*$A17^1.75/5,0)*5</f>
        <v>1335</v>
      </c>
      <c r="D17" s="14" t="n">
        <f aca="false">D16+C17</f>
        <v>2185</v>
      </c>
      <c r="E17" s="31" t="n">
        <f aca="false">$B$6+0.4*($A17-1)</f>
        <v>6.8</v>
      </c>
      <c r="F17" s="31" t="n">
        <f aca="false">$B$7*IF($A17&gt;=6,1.3,1)</f>
        <v>12</v>
      </c>
      <c r="G17" s="28" t="n">
        <f aca="false">IF($A17&gt;=3,$B$8+1,$B$8)</f>
        <v>3</v>
      </c>
      <c r="H17" s="12" t="s">
        <v>342</v>
      </c>
    </row>
    <row r="18" customFormat="false" ht="15" hidden="false" customHeight="true" outlineLevel="0" collapsed="false">
      <c r="A18" s="24" t="n">
        <v>4</v>
      </c>
      <c r="B18" s="13" t="str">
        <f aca="false">IF($A18=0,"Uninstalled",IF($A18&lt;=3,"Initiated",IF($A18&lt;=6,"Masterwork",IF($A18&lt;=9,"Mythic","Legendary"))))</f>
        <v>Masterwork</v>
      </c>
      <c r="C18" s="15" t="n">
        <f aca="false">ROUND($B$5*1.5*$A18^1.75/5,0)*5</f>
        <v>2205</v>
      </c>
      <c r="D18" s="15" t="n">
        <f aca="false">D17+C18</f>
        <v>4390</v>
      </c>
      <c r="E18" s="35" t="n">
        <f aca="false">$B$6+0.4*($A18-1)</f>
        <v>7.2</v>
      </c>
      <c r="F18" s="35" t="n">
        <f aca="false">$B$7*IF($A18&gt;=6,1.3,1)</f>
        <v>12</v>
      </c>
      <c r="G18" s="32" t="n">
        <f aca="false">IF($A18&gt;=3,$B$8+1,$B$8)</f>
        <v>3</v>
      </c>
      <c r="H18" s="13"/>
    </row>
    <row r="19" customFormat="false" ht="15" hidden="false" customHeight="true" outlineLevel="0" collapsed="false">
      <c r="A19" s="16" t="n">
        <v>5</v>
      </c>
      <c r="B19" s="12" t="str">
        <f aca="false">IF($A19=0,"Uninstalled",IF($A19&lt;=3,"Initiated",IF($A19&lt;=6,"Masterwork",IF($A19&lt;=9,"Mythic","Legendary"))))</f>
        <v>Masterwork</v>
      </c>
      <c r="C19" s="14" t="n">
        <f aca="false">ROUND($B$5*1.5*$A19^1.75/5,0)*5</f>
        <v>3260</v>
      </c>
      <c r="D19" s="14" t="n">
        <f aca="false">D18+C19</f>
        <v>7650</v>
      </c>
      <c r="E19" s="31" t="n">
        <f aca="false">$B$6+0.4*($A19-1)</f>
        <v>7.6</v>
      </c>
      <c r="F19" s="31" t="n">
        <f aca="false">$B$7*IF($A19&gt;=6,1.3,1)</f>
        <v>12</v>
      </c>
      <c r="G19" s="28" t="n">
        <f aca="false">IF($A19&gt;=3,$B$8+1,$B$8)</f>
        <v>3</v>
      </c>
      <c r="H19" s="12" t="s">
        <v>343</v>
      </c>
    </row>
    <row r="20" customFormat="false" ht="15" hidden="false" customHeight="true" outlineLevel="0" collapsed="false">
      <c r="A20" s="24" t="n">
        <v>6</v>
      </c>
      <c r="B20" s="13" t="str">
        <f aca="false">IF($A20=0,"Uninstalled",IF($A20&lt;=3,"Initiated",IF($A20&lt;=6,"Masterwork",IF($A20&lt;=9,"Mythic","Legendary"))))</f>
        <v>Masterwork</v>
      </c>
      <c r="C20" s="15" t="n">
        <f aca="false">ROUND($B$5*1.5*$A20^1.75/5,0)*5</f>
        <v>4485</v>
      </c>
      <c r="D20" s="15" t="n">
        <f aca="false">D19+C20</f>
        <v>12135</v>
      </c>
      <c r="E20" s="35" t="n">
        <f aca="false">$B$6+0.4*($A20-1)</f>
        <v>8</v>
      </c>
      <c r="F20" s="35" t="n">
        <f aca="false">$B$7*IF($A20&gt;=6,1.3,1)</f>
        <v>15.6</v>
      </c>
      <c r="G20" s="32" t="n">
        <f aca="false">IF($A20&gt;=3,$B$8+1,$B$8)</f>
        <v>3</v>
      </c>
      <c r="H20" s="13" t="s">
        <v>344</v>
      </c>
    </row>
    <row r="21" customFormat="false" ht="15" hidden="false" customHeight="true" outlineLevel="0" collapsed="false">
      <c r="A21" s="16" t="n">
        <v>7</v>
      </c>
      <c r="B21" s="12" t="str">
        <f aca="false">IF($A21=0,"Uninstalled",IF($A21&lt;=3,"Initiated",IF($A21&lt;=6,"Masterwork",IF($A21&lt;=9,"Mythic","Legendary"))))</f>
        <v>Mythic</v>
      </c>
      <c r="C21" s="14" t="n">
        <f aca="false">ROUND($B$5*1.5*$A21^1.75/5,0)*5</f>
        <v>5875</v>
      </c>
      <c r="D21" s="14" t="n">
        <f aca="false">D20+C21</f>
        <v>18010</v>
      </c>
      <c r="E21" s="31" t="n">
        <f aca="false">$B$6+0.4*($A21-1)</f>
        <v>8.4</v>
      </c>
      <c r="F21" s="31" t="n">
        <f aca="false">$B$7*IF($A21&gt;=6,1.3,1)</f>
        <v>15.6</v>
      </c>
      <c r="G21" s="28" t="n">
        <f aca="false">IF($A21&gt;=3,$B$8+1,$B$8)</f>
        <v>3</v>
      </c>
      <c r="H21" s="12"/>
    </row>
    <row r="22" customFormat="false" ht="15" hidden="false" customHeight="true" outlineLevel="0" collapsed="false">
      <c r="A22" s="24" t="n">
        <v>8</v>
      </c>
      <c r="B22" s="13" t="str">
        <f aca="false">IF($A22=0,"Uninstalled",IF($A22&lt;=3,"Initiated",IF($A22&lt;=6,"Masterwork",IF($A22&lt;=9,"Mythic","Legendary"))))</f>
        <v>Mythic</v>
      </c>
      <c r="C22" s="15" t="n">
        <f aca="false">ROUND($B$5*1.5*$A22^1.75/5,0)*5</f>
        <v>7420</v>
      </c>
      <c r="D22" s="15" t="n">
        <f aca="false">D21+C22</f>
        <v>25430</v>
      </c>
      <c r="E22" s="35" t="n">
        <f aca="false">$B$6+0.4*($A22-1)</f>
        <v>8.8</v>
      </c>
      <c r="F22" s="35" t="n">
        <f aca="false">$B$7*IF($A22&gt;=6,1.3,1)</f>
        <v>15.6</v>
      </c>
      <c r="G22" s="32" t="n">
        <f aca="false">IF($A22&gt;=3,$B$8+1,$B$8)</f>
        <v>3</v>
      </c>
      <c r="H22" s="13"/>
    </row>
    <row r="23" customFormat="false" ht="15" hidden="false" customHeight="true" outlineLevel="0" collapsed="false">
      <c r="A23" s="16" t="n">
        <v>9</v>
      </c>
      <c r="B23" s="12" t="str">
        <f aca="false">IF($A23=0,"Uninstalled",IF($A23&lt;=3,"Initiated",IF($A23&lt;=6,"Masterwork",IF($A23&lt;=9,"Mythic","Legendary"))))</f>
        <v>Mythic</v>
      </c>
      <c r="C23" s="14" t="n">
        <f aca="false">ROUND($B$5*1.5*$A23^1.75/5,0)*5</f>
        <v>9120</v>
      </c>
      <c r="D23" s="14" t="n">
        <f aca="false">D22+C23</f>
        <v>34550</v>
      </c>
      <c r="E23" s="31" t="n">
        <f aca="false">$B$6+0.4*($A23-1)</f>
        <v>9.2</v>
      </c>
      <c r="F23" s="31" t="n">
        <f aca="false">$B$7*IF($A23&gt;=6,1.3,1)</f>
        <v>15.6</v>
      </c>
      <c r="G23" s="28" t="n">
        <f aca="false">IF($A23&gt;=3,$B$8+1,$B$8)</f>
        <v>3</v>
      </c>
      <c r="H23" s="12" t="s">
        <v>345</v>
      </c>
    </row>
    <row r="24" customFormat="false" ht="15" hidden="false" customHeight="true" outlineLevel="0" collapsed="false">
      <c r="A24" s="24" t="n">
        <v>10</v>
      </c>
      <c r="B24" s="13" t="str">
        <f aca="false">IF($A24=0,"Uninstalled",IF($A24&lt;=3,"Initiated",IF($A24&lt;=6,"Masterwork",IF($A24&lt;=9,"Mythic","Legendary"))))</f>
        <v>Legendary</v>
      </c>
      <c r="C24" s="15" t="n">
        <f aca="false">ROUND($B$5*1.5*$A24^1.75/5,0)*5</f>
        <v>10965</v>
      </c>
      <c r="D24" s="15" t="n">
        <f aca="false">D23+C24</f>
        <v>45515</v>
      </c>
      <c r="E24" s="35" t="n">
        <f aca="false">$B$6+0.4*($A24-1)</f>
        <v>9.6</v>
      </c>
      <c r="F24" s="35" t="n">
        <f aca="false">$B$7*IF($A24&gt;=6,1.3,1)</f>
        <v>15.6</v>
      </c>
      <c r="G24" s="32" t="n">
        <f aca="false">IF($A24&gt;=3,$B$8+1,$B$8)</f>
        <v>3</v>
      </c>
      <c r="H24" s="13" t="s">
        <v>346</v>
      </c>
    </row>
    <row r="26" customFormat="false" ht="15" hidden="false" customHeight="true" outlineLevel="0" collapsed="false">
      <c r="A26"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B3D9"/>
    <pageSetUpPr fitToPage="false"/>
  </sheetPr>
  <dimension ref="A1:J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9" min="2" style="1" width="14"/>
    <col collapsed="false" customWidth="true" hidden="false" outlineLevel="0" max="10" min="10" style="1" width="62"/>
  </cols>
  <sheetData>
    <row r="1" customFormat="false" ht="21.75" hidden="false" customHeight="true" outlineLevel="0" collapsed="false">
      <c r="A1" s="2" t="s">
        <v>347</v>
      </c>
    </row>
    <row r="2" customFormat="false" ht="15" hidden="false" customHeight="true" outlineLevel="0" collapsed="false">
      <c r="A2" s="3" t="s">
        <v>348</v>
      </c>
    </row>
    <row r="4" customFormat="false" ht="15" hidden="false" customHeight="true" outlineLevel="0" collapsed="false">
      <c r="A4" s="6" t="s">
        <v>158</v>
      </c>
    </row>
    <row r="5" customFormat="false" ht="15" hidden="false" customHeight="true" outlineLevel="0" collapsed="false">
      <c r="A5" s="12" t="s">
        <v>159</v>
      </c>
      <c r="B5" s="22" t="n">
        <v>120</v>
      </c>
      <c r="C5" s="3" t="s">
        <v>160</v>
      </c>
    </row>
    <row r="6" customFormat="false" ht="15" hidden="false" customHeight="true" outlineLevel="0" collapsed="false">
      <c r="A6" s="12" t="s">
        <v>349</v>
      </c>
      <c r="B6" s="26" t="n">
        <v>3</v>
      </c>
      <c r="C6" s="3" t="s">
        <v>350</v>
      </c>
    </row>
    <row r="7" customFormat="false" ht="15" hidden="false" customHeight="true" outlineLevel="0" collapsed="false">
      <c r="A7" s="12" t="s">
        <v>351</v>
      </c>
      <c r="B7" s="26" t="n">
        <v>4</v>
      </c>
      <c r="C7" s="3" t="s">
        <v>352</v>
      </c>
    </row>
    <row r="8" customFormat="false" ht="15" hidden="false" customHeight="true" outlineLevel="0" collapsed="false">
      <c r="A8" s="12" t="s">
        <v>353</v>
      </c>
      <c r="B8" s="26" t="n">
        <v>1</v>
      </c>
      <c r="C8" s="3" t="s">
        <v>354</v>
      </c>
    </row>
    <row r="9" customFormat="false" ht="15" hidden="false" customHeight="true" outlineLevel="0" collapsed="false">
      <c r="A9" s="12" t="s">
        <v>229</v>
      </c>
      <c r="B9" s="37" t="n">
        <v>1400</v>
      </c>
    </row>
    <row r="10" customFormat="false" ht="15" hidden="false" customHeight="true" outlineLevel="0" collapsed="false">
      <c r="A10" s="12" t="s">
        <v>230</v>
      </c>
      <c r="B10" s="37" t="n">
        <v>400</v>
      </c>
    </row>
    <row r="11" customFormat="false" ht="15" hidden="false" customHeight="true" outlineLevel="0" collapsed="false">
      <c r="A11" s="12" t="s">
        <v>231</v>
      </c>
      <c r="B11" s="37" t="n">
        <v>100</v>
      </c>
    </row>
    <row r="13" customFormat="false" ht="15" hidden="false" customHeight="true" outlineLevel="0" collapsed="false">
      <c r="A13" s="6" t="s">
        <v>172</v>
      </c>
    </row>
    <row r="14" customFormat="false" ht="42" hidden="false" customHeight="true" outlineLevel="0" collapsed="false">
      <c r="A14" s="11" t="s">
        <v>131</v>
      </c>
      <c r="B14" s="11" t="s">
        <v>173</v>
      </c>
      <c r="C14" s="11" t="s">
        <v>174</v>
      </c>
      <c r="D14" s="11" t="s">
        <v>141</v>
      </c>
      <c r="E14" s="11" t="s">
        <v>355</v>
      </c>
      <c r="F14" s="11" t="s">
        <v>356</v>
      </c>
      <c r="G14" s="11" t="s">
        <v>351</v>
      </c>
      <c r="H14" s="11" t="s">
        <v>357</v>
      </c>
      <c r="I14" s="11" t="s">
        <v>358</v>
      </c>
      <c r="J14" s="11" t="s">
        <v>181</v>
      </c>
    </row>
    <row r="15" customFormat="false" ht="15" hidden="false" customHeight="true" outlineLevel="0" collapsed="false">
      <c r="A15" s="16" t="n">
        <v>1</v>
      </c>
      <c r="B15" s="12" t="str">
        <f aca="false">IF($A15=0,"Uninstalled",IF($A15&lt;=3,"Initiated",IF($A15&lt;=6,"Masterwork",IF($A15&lt;=9,"Mythic","Legendary"))))</f>
        <v>Initiated</v>
      </c>
      <c r="C15" s="14" t="n">
        <f aca="false">ROUND($B$5*1.5*$A15^1.75/5,0)*5</f>
        <v>180</v>
      </c>
      <c r="D15" s="14" t="n">
        <f aca="false">0+C15</f>
        <v>180</v>
      </c>
      <c r="E15" s="28" t="n">
        <f aca="false">$B$6+INT(($A15-1)/2)</f>
        <v>3</v>
      </c>
      <c r="F15" s="46" t="str">
        <f aca="false">IF($A15&gt;=7,"Heavy",IF($A15&gt;=4,"Medium","Light"))</f>
        <v>Light</v>
      </c>
      <c r="G15" s="31" t="n">
        <f aca="false">$B$7*IF($A15&gt;=6,1.25,1)</f>
        <v>4</v>
      </c>
      <c r="H15" s="29" t="n">
        <f aca="false">MAX(0.4,$B$8-0.04*($A15-1))</f>
        <v>1</v>
      </c>
      <c r="I15" s="28" t="n">
        <f aca="false">IF($A15&gt;=3,2,1)</f>
        <v>1</v>
      </c>
      <c r="J15" s="12"/>
    </row>
    <row r="16" customFormat="false" ht="15" hidden="false" customHeight="true" outlineLevel="0" collapsed="false">
      <c r="A16" s="24" t="n">
        <v>2</v>
      </c>
      <c r="B16" s="13" t="str">
        <f aca="false">IF($A16=0,"Uninstalled",IF($A16&lt;=3,"Initiated",IF($A16&lt;=6,"Masterwork",IF($A16&lt;=9,"Mythic","Legendary"))))</f>
        <v>Initiated</v>
      </c>
      <c r="C16" s="15" t="n">
        <f aca="false">ROUND($B$5*1.5*$A16^1.75/5,0)*5</f>
        <v>605</v>
      </c>
      <c r="D16" s="15" t="n">
        <f aca="false">D15+C16</f>
        <v>785</v>
      </c>
      <c r="E16" s="32" t="n">
        <f aca="false">$B$6+INT(($A16-1)/2)</f>
        <v>3</v>
      </c>
      <c r="F16" s="47" t="str">
        <f aca="false">IF($A16&gt;=7,"Heavy",IF($A16&gt;=4,"Medium","Light"))</f>
        <v>Light</v>
      </c>
      <c r="G16" s="35" t="n">
        <f aca="false">$B$7*IF($A16&gt;=6,1.25,1)</f>
        <v>4</v>
      </c>
      <c r="H16" s="33" t="n">
        <f aca="false">MAX(0.4,$B$8-0.04*($A16-1))</f>
        <v>0.96</v>
      </c>
      <c r="I16" s="32" t="n">
        <f aca="false">IF($A16&gt;=3,2,1)</f>
        <v>1</v>
      </c>
      <c r="J16" s="13"/>
    </row>
    <row r="17" customFormat="false" ht="15" hidden="false" customHeight="true" outlineLevel="0" collapsed="false">
      <c r="A17" s="16" t="n">
        <v>3</v>
      </c>
      <c r="B17" s="12" t="str">
        <f aca="false">IF($A17=0,"Uninstalled",IF($A17&lt;=3,"Initiated",IF($A17&lt;=6,"Masterwork",IF($A17&lt;=9,"Mythic","Legendary"))))</f>
        <v>Initiated</v>
      </c>
      <c r="C17" s="14" t="n">
        <f aca="false">ROUND($B$5*1.5*$A17^1.75/5,0)*5</f>
        <v>1230</v>
      </c>
      <c r="D17" s="14" t="n">
        <f aca="false">D16+C17</f>
        <v>2015</v>
      </c>
      <c r="E17" s="28" t="n">
        <f aca="false">$B$6+INT(($A17-1)/2)</f>
        <v>4</v>
      </c>
      <c r="F17" s="46" t="str">
        <f aca="false">IF($A17&gt;=7,"Heavy",IF($A17&gt;=4,"Medium","Light"))</f>
        <v>Light</v>
      </c>
      <c r="G17" s="31" t="n">
        <f aca="false">$B$7*IF($A17&gt;=6,1.25,1)</f>
        <v>4</v>
      </c>
      <c r="H17" s="29" t="n">
        <f aca="false">MAX(0.4,$B$8-0.04*($A17-1))</f>
        <v>0.92</v>
      </c>
      <c r="I17" s="28" t="n">
        <f aca="false">IF($A17&gt;=3,2,1)</f>
        <v>2</v>
      </c>
      <c r="J17" s="12" t="s">
        <v>359</v>
      </c>
    </row>
    <row r="18" customFormat="false" ht="15" hidden="false" customHeight="true" outlineLevel="0" collapsed="false">
      <c r="A18" s="24" t="n">
        <v>4</v>
      </c>
      <c r="B18" s="13" t="str">
        <f aca="false">IF($A18=0,"Uninstalled",IF($A18&lt;=3,"Initiated",IF($A18&lt;=6,"Masterwork",IF($A18&lt;=9,"Mythic","Legendary"))))</f>
        <v>Masterwork</v>
      </c>
      <c r="C18" s="15" t="n">
        <f aca="false">ROUND($B$5*1.5*$A18^1.75/5,0)*5</f>
        <v>2035</v>
      </c>
      <c r="D18" s="15" t="n">
        <f aca="false">D17+C18</f>
        <v>4050</v>
      </c>
      <c r="E18" s="32" t="n">
        <f aca="false">$B$6+INT(($A18-1)/2)</f>
        <v>4</v>
      </c>
      <c r="F18" s="47" t="str">
        <f aca="false">IF($A18&gt;=7,"Heavy",IF($A18&gt;=4,"Medium","Light"))</f>
        <v>Medium</v>
      </c>
      <c r="G18" s="35" t="n">
        <f aca="false">$B$7*IF($A18&gt;=6,1.25,1)</f>
        <v>4</v>
      </c>
      <c r="H18" s="33" t="n">
        <f aca="false">MAX(0.4,$B$8-0.04*($A18-1))</f>
        <v>0.88</v>
      </c>
      <c r="I18" s="32" t="n">
        <f aca="false">IF($A18&gt;=3,2,1)</f>
        <v>2</v>
      </c>
      <c r="J18" s="13"/>
    </row>
    <row r="19" customFormat="false" ht="15" hidden="false" customHeight="true" outlineLevel="0" collapsed="false">
      <c r="A19" s="16" t="n">
        <v>5</v>
      </c>
      <c r="B19" s="12" t="str">
        <f aca="false">IF($A19=0,"Uninstalled",IF($A19&lt;=3,"Initiated",IF($A19&lt;=6,"Masterwork",IF($A19&lt;=9,"Mythic","Legendary"))))</f>
        <v>Masterwork</v>
      </c>
      <c r="C19" s="14" t="n">
        <f aca="false">ROUND($B$5*1.5*$A19^1.75/5,0)*5</f>
        <v>3010</v>
      </c>
      <c r="D19" s="14" t="n">
        <f aca="false">D18+C19</f>
        <v>7060</v>
      </c>
      <c r="E19" s="28" t="n">
        <f aca="false">$B$6+INT(($A19-1)/2)</f>
        <v>5</v>
      </c>
      <c r="F19" s="46" t="str">
        <f aca="false">IF($A19&gt;=7,"Heavy",IF($A19&gt;=4,"Medium","Light"))</f>
        <v>Medium</v>
      </c>
      <c r="G19" s="31" t="n">
        <f aca="false">$B$7*IF($A19&gt;=6,1.25,1)</f>
        <v>4</v>
      </c>
      <c r="H19" s="29" t="n">
        <f aca="false">MAX(0.4,$B$8-0.04*($A19-1))</f>
        <v>0.84</v>
      </c>
      <c r="I19" s="28" t="n">
        <f aca="false">IF($A19&gt;=3,2,1)</f>
        <v>2</v>
      </c>
      <c r="J19" s="12" t="s">
        <v>360</v>
      </c>
    </row>
    <row r="20" customFormat="false" ht="15" hidden="false" customHeight="true" outlineLevel="0" collapsed="false">
      <c r="A20" s="24" t="n">
        <v>6</v>
      </c>
      <c r="B20" s="13" t="str">
        <f aca="false">IF($A20=0,"Uninstalled",IF($A20&lt;=3,"Initiated",IF($A20&lt;=6,"Masterwork",IF($A20&lt;=9,"Mythic","Legendary"))))</f>
        <v>Masterwork</v>
      </c>
      <c r="C20" s="15" t="n">
        <f aca="false">ROUND($B$5*1.5*$A20^1.75/5,0)*5</f>
        <v>4140</v>
      </c>
      <c r="D20" s="15" t="n">
        <f aca="false">D19+C20</f>
        <v>11200</v>
      </c>
      <c r="E20" s="32" t="n">
        <f aca="false">$B$6+INT(($A20-1)/2)</f>
        <v>5</v>
      </c>
      <c r="F20" s="47" t="str">
        <f aca="false">IF($A20&gt;=7,"Heavy",IF($A20&gt;=4,"Medium","Light"))</f>
        <v>Medium</v>
      </c>
      <c r="G20" s="35" t="n">
        <f aca="false">$B$7*IF($A20&gt;=6,1.25,1)</f>
        <v>5</v>
      </c>
      <c r="H20" s="33" t="n">
        <f aca="false">MAX(0.4,$B$8-0.04*($A20-1))</f>
        <v>0.8</v>
      </c>
      <c r="I20" s="32" t="n">
        <f aca="false">IF($A20&gt;=3,2,1)</f>
        <v>2</v>
      </c>
      <c r="J20" s="13" t="s">
        <v>361</v>
      </c>
    </row>
    <row r="21" customFormat="false" ht="15" hidden="false" customHeight="true" outlineLevel="0" collapsed="false">
      <c r="A21" s="16" t="n">
        <v>7</v>
      </c>
      <c r="B21" s="12" t="str">
        <f aca="false">IF($A21=0,"Uninstalled",IF($A21&lt;=3,"Initiated",IF($A21&lt;=6,"Masterwork",IF($A21&lt;=9,"Mythic","Legendary"))))</f>
        <v>Mythic</v>
      </c>
      <c r="C21" s="14" t="n">
        <f aca="false">ROUND($B$5*1.5*$A21^1.75/5,0)*5</f>
        <v>5420</v>
      </c>
      <c r="D21" s="14" t="n">
        <f aca="false">D20+C21</f>
        <v>16620</v>
      </c>
      <c r="E21" s="28" t="n">
        <f aca="false">$B$6+INT(($A21-1)/2)</f>
        <v>6</v>
      </c>
      <c r="F21" s="46" t="str">
        <f aca="false">IF($A21&gt;=7,"Heavy",IF($A21&gt;=4,"Medium","Light"))</f>
        <v>Heavy</v>
      </c>
      <c r="G21" s="31" t="n">
        <f aca="false">$B$7*IF($A21&gt;=6,1.25,1)</f>
        <v>5</v>
      </c>
      <c r="H21" s="29" t="n">
        <f aca="false">MAX(0.4,$B$8-0.04*($A21-1))</f>
        <v>0.76</v>
      </c>
      <c r="I21" s="28" t="n">
        <f aca="false">IF($A21&gt;=3,2,1)</f>
        <v>2</v>
      </c>
      <c r="J21" s="12"/>
    </row>
    <row r="22" customFormat="false" ht="15" hidden="false" customHeight="true" outlineLevel="0" collapsed="false">
      <c r="A22" s="24" t="n">
        <v>8</v>
      </c>
      <c r="B22" s="13" t="str">
        <f aca="false">IF($A22=0,"Uninstalled",IF($A22&lt;=3,"Initiated",IF($A22&lt;=6,"Masterwork",IF($A22&lt;=9,"Mythic","Legendary"))))</f>
        <v>Mythic</v>
      </c>
      <c r="C22" s="15" t="n">
        <f aca="false">ROUND($B$5*1.5*$A22^1.75/5,0)*5</f>
        <v>6850</v>
      </c>
      <c r="D22" s="15" t="n">
        <f aca="false">D21+C22</f>
        <v>23470</v>
      </c>
      <c r="E22" s="32" t="n">
        <f aca="false">$B$6+INT(($A22-1)/2)</f>
        <v>6</v>
      </c>
      <c r="F22" s="47" t="str">
        <f aca="false">IF($A22&gt;=7,"Heavy",IF($A22&gt;=4,"Medium","Light"))</f>
        <v>Heavy</v>
      </c>
      <c r="G22" s="35" t="n">
        <f aca="false">$B$7*IF($A22&gt;=6,1.25,1)</f>
        <v>5</v>
      </c>
      <c r="H22" s="33" t="n">
        <f aca="false">MAX(0.4,$B$8-0.04*($A22-1))</f>
        <v>0.72</v>
      </c>
      <c r="I22" s="32" t="n">
        <f aca="false">IF($A22&gt;=3,2,1)</f>
        <v>2</v>
      </c>
      <c r="J22" s="13"/>
    </row>
    <row r="23" customFormat="false" ht="15" hidden="false" customHeight="true" outlineLevel="0" collapsed="false">
      <c r="A23" s="16" t="n">
        <v>9</v>
      </c>
      <c r="B23" s="12" t="str">
        <f aca="false">IF($A23=0,"Uninstalled",IF($A23&lt;=3,"Initiated",IF($A23&lt;=6,"Masterwork",IF($A23&lt;=9,"Mythic","Legendary"))))</f>
        <v>Mythic</v>
      </c>
      <c r="C23" s="14" t="n">
        <f aca="false">ROUND($B$5*1.5*$A23^1.75/5,0)*5</f>
        <v>8420</v>
      </c>
      <c r="D23" s="14" t="n">
        <f aca="false">D22+C23</f>
        <v>31890</v>
      </c>
      <c r="E23" s="28" t="n">
        <f aca="false">$B$6+INT(($A23-1)/2)</f>
        <v>7</v>
      </c>
      <c r="F23" s="46" t="str">
        <f aca="false">IF($A23&gt;=7,"Heavy",IF($A23&gt;=4,"Medium","Light"))</f>
        <v>Heavy</v>
      </c>
      <c r="G23" s="31" t="n">
        <f aca="false">$B$7*IF($A23&gt;=6,1.25,1)</f>
        <v>5</v>
      </c>
      <c r="H23" s="29" t="n">
        <f aca="false">MAX(0.4,$B$8-0.04*($A23-1))</f>
        <v>0.68</v>
      </c>
      <c r="I23" s="28" t="n">
        <f aca="false">IF($A23&gt;=3,2,1)</f>
        <v>2</v>
      </c>
      <c r="J23" s="12" t="s">
        <v>362</v>
      </c>
    </row>
    <row r="24" customFormat="false" ht="15" hidden="false" customHeight="true" outlineLevel="0" collapsed="false">
      <c r="A24" s="24" t="n">
        <v>10</v>
      </c>
      <c r="B24" s="13" t="str">
        <f aca="false">IF($A24=0,"Uninstalled",IF($A24&lt;=3,"Initiated",IF($A24&lt;=6,"Masterwork",IF($A24&lt;=9,"Mythic","Legendary"))))</f>
        <v>Legendary</v>
      </c>
      <c r="C24" s="15" t="n">
        <f aca="false">ROUND($B$5*1.5*$A24^1.75/5,0)*5</f>
        <v>10120</v>
      </c>
      <c r="D24" s="15" t="n">
        <f aca="false">D23+C24</f>
        <v>42010</v>
      </c>
      <c r="E24" s="32" t="n">
        <f aca="false">$B$6+INT(($A24-1)/2)</f>
        <v>7</v>
      </c>
      <c r="F24" s="47" t="str">
        <f aca="false">IF($A24&gt;=7,"Heavy",IF($A24&gt;=4,"Medium","Light"))</f>
        <v>Heavy</v>
      </c>
      <c r="G24" s="35" t="n">
        <f aca="false">$B$7*IF($A24&gt;=6,1.25,1)</f>
        <v>5</v>
      </c>
      <c r="H24" s="33" t="n">
        <f aca="false">MAX(0.4,$B$8-0.04*($A24-1))</f>
        <v>0.64</v>
      </c>
      <c r="I24" s="32" t="n">
        <f aca="false">IF($A24&gt;=3,2,1)</f>
        <v>2</v>
      </c>
      <c r="J24" s="13" t="s">
        <v>363</v>
      </c>
    </row>
    <row r="26" customFormat="false" ht="15" hidden="false" customHeight="true" outlineLevel="0" collapsed="false">
      <c r="A26" s="3" t="s">
        <v>364</v>
      </c>
    </row>
    <row r="27" customFormat="false" ht="15" hidden="false" customHeight="true" outlineLevel="0" collapsed="false">
      <c r="A27"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J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30"/>
    <col collapsed="false" customWidth="true" hidden="false" outlineLevel="0" max="10" min="3" style="1" width="13"/>
  </cols>
  <sheetData>
    <row r="1" customFormat="false" ht="21.75" hidden="false" customHeight="true" outlineLevel="0" collapsed="false">
      <c r="A1" s="2" t="s">
        <v>365</v>
      </c>
    </row>
    <row r="2" customFormat="false" ht="15" hidden="false" customHeight="true" outlineLevel="0" collapsed="false">
      <c r="A2" s="3" t="s">
        <v>366</v>
      </c>
    </row>
    <row r="4" customFormat="false" ht="15" hidden="false" customHeight="true" outlineLevel="0" collapsed="false">
      <c r="A4" s="6" t="s">
        <v>367</v>
      </c>
    </row>
    <row r="5" customFormat="false" ht="15" hidden="false" customHeight="true" outlineLevel="0" collapsed="false">
      <c r="A5" s="12" t="s">
        <v>368</v>
      </c>
      <c r="B5" s="22" t="n">
        <v>40</v>
      </c>
      <c r="C5" s="3" t="s">
        <v>369</v>
      </c>
    </row>
    <row r="6" customFormat="false" ht="15" hidden="false" customHeight="true" outlineLevel="0" collapsed="false">
      <c r="A6" s="8" t="s">
        <v>370</v>
      </c>
      <c r="B6" s="48" t="n">
        <v>5.5</v>
      </c>
    </row>
    <row r="7" customFormat="false" ht="15" hidden="false" customHeight="true" outlineLevel="0" collapsed="false">
      <c r="A7" s="8" t="s">
        <v>371</v>
      </c>
      <c r="C7" s="3" t="s">
        <v>372</v>
      </c>
    </row>
    <row r="9" customFormat="false" ht="15" hidden="false" customHeight="true" outlineLevel="0" collapsed="false">
      <c r="A9" s="11" t="s">
        <v>373</v>
      </c>
      <c r="B9" s="11" t="s">
        <v>374</v>
      </c>
      <c r="C9" s="11" t="s">
        <v>375</v>
      </c>
      <c r="D9" s="11" t="s">
        <v>376</v>
      </c>
      <c r="E9" s="11" t="s">
        <v>377</v>
      </c>
    </row>
    <row r="10" customFormat="false" ht="15" hidden="false" customHeight="true" outlineLevel="0" collapsed="false">
      <c r="A10" s="12" t="s">
        <v>378</v>
      </c>
      <c r="B10" s="12" t="s">
        <v>379</v>
      </c>
      <c r="C10" s="22" t="n">
        <v>30</v>
      </c>
      <c r="D10" s="22" t="n">
        <v>1</v>
      </c>
      <c r="E10" s="22" t="n">
        <v>10</v>
      </c>
    </row>
    <row r="11" customFormat="false" ht="15" hidden="false" customHeight="true" outlineLevel="0" collapsed="false">
      <c r="A11" s="13" t="s">
        <v>380</v>
      </c>
      <c r="B11" s="13" t="s">
        <v>381</v>
      </c>
      <c r="C11" s="22" t="n">
        <v>30</v>
      </c>
      <c r="D11" s="22" t="n">
        <v>3</v>
      </c>
      <c r="E11" s="22" t="n">
        <v>10</v>
      </c>
    </row>
    <row r="12" customFormat="false" ht="15" hidden="false" customHeight="true" outlineLevel="0" collapsed="false">
      <c r="A12" s="12" t="s">
        <v>382</v>
      </c>
      <c r="B12" s="12" t="s">
        <v>383</v>
      </c>
      <c r="C12" s="22" t="n">
        <v>25</v>
      </c>
      <c r="D12" s="22" t="n">
        <v>5</v>
      </c>
      <c r="E12" s="22" t="n">
        <v>10</v>
      </c>
    </row>
    <row r="13" customFormat="false" ht="15" hidden="false" customHeight="true" outlineLevel="0" collapsed="false">
      <c r="A13" s="13" t="s">
        <v>384</v>
      </c>
      <c r="B13" s="13" t="s">
        <v>385</v>
      </c>
      <c r="C13" s="22" t="n">
        <v>40</v>
      </c>
      <c r="D13" s="22" t="n">
        <v>1</v>
      </c>
      <c r="E13" s="22" t="n">
        <v>5</v>
      </c>
    </row>
    <row r="14" customFormat="false" ht="15" hidden="false" customHeight="true" outlineLevel="0" collapsed="false">
      <c r="A14" s="12" t="s">
        <v>386</v>
      </c>
      <c r="B14" s="12" t="s">
        <v>387</v>
      </c>
      <c r="C14" s="22" t="n">
        <v>35</v>
      </c>
      <c r="D14" s="22" t="n">
        <v>10</v>
      </c>
      <c r="E14" s="22" t="n">
        <v>10</v>
      </c>
    </row>
    <row r="15" customFormat="false" ht="15" hidden="false" customHeight="true" outlineLevel="0" collapsed="false">
      <c r="A15" s="13" t="s">
        <v>388</v>
      </c>
      <c r="B15" s="13" t="s">
        <v>389</v>
      </c>
      <c r="C15" s="22" t="n">
        <v>30</v>
      </c>
      <c r="D15" s="22" t="n">
        <v>1</v>
      </c>
      <c r="E15" s="22" t="n">
        <v>10</v>
      </c>
    </row>
    <row r="16" customFormat="false" ht="15" hidden="false" customHeight="true" outlineLevel="0" collapsed="false">
      <c r="A16" s="12" t="s">
        <v>390</v>
      </c>
      <c r="B16" s="12" t="s">
        <v>391</v>
      </c>
      <c r="C16" s="22" t="n">
        <v>30</v>
      </c>
      <c r="D16" s="22" t="n">
        <v>8</v>
      </c>
      <c r="E16" s="22" t="n">
        <v>10</v>
      </c>
    </row>
    <row r="17" customFormat="false" ht="15" hidden="false" customHeight="true" outlineLevel="0" collapsed="false">
      <c r="A17" s="13" t="s">
        <v>392</v>
      </c>
      <c r="B17" s="13" t="s">
        <v>393</v>
      </c>
      <c r="C17" s="22" t="n">
        <v>30</v>
      </c>
      <c r="D17" s="22" t="n">
        <v>6</v>
      </c>
      <c r="E17" s="22" t="n">
        <v>10</v>
      </c>
    </row>
    <row r="18" customFormat="false" ht="15" hidden="false" customHeight="true" outlineLevel="0" collapsed="false">
      <c r="A18" s="12" t="s">
        <v>205</v>
      </c>
      <c r="B18" s="12" t="s">
        <v>394</v>
      </c>
      <c r="C18" s="22" t="n">
        <v>25</v>
      </c>
      <c r="D18" s="22" t="n">
        <v>4</v>
      </c>
      <c r="E18" s="22" t="n">
        <v>10</v>
      </c>
    </row>
    <row r="20" customFormat="false" ht="15" hidden="false" customHeight="true" outlineLevel="0" collapsed="false">
      <c r="A20" s="6" t="s">
        <v>395</v>
      </c>
    </row>
    <row r="21" customFormat="false" ht="30" hidden="false" customHeight="true" outlineLevel="0" collapsed="false">
      <c r="A21" s="11" t="s">
        <v>131</v>
      </c>
      <c r="B21" s="11" t="s">
        <v>396</v>
      </c>
      <c r="C21" s="11" t="s">
        <v>397</v>
      </c>
      <c r="D21" s="11" t="s">
        <v>398</v>
      </c>
      <c r="E21" s="11" t="s">
        <v>399</v>
      </c>
      <c r="F21" s="11" t="s">
        <v>400</v>
      </c>
      <c r="G21" s="11" t="s">
        <v>401</v>
      </c>
      <c r="H21" s="11" t="s">
        <v>402</v>
      </c>
      <c r="I21" s="11" t="s">
        <v>403</v>
      </c>
      <c r="J21" s="11" t="s">
        <v>133</v>
      </c>
    </row>
    <row r="22" customFormat="false" ht="15" hidden="false" customHeight="true" outlineLevel="0" collapsed="false">
      <c r="A22" s="16" t="n">
        <v>1</v>
      </c>
      <c r="B22" s="23" t="n">
        <f aca="false">IF($A22&gt;$E$10,"",$D$10+INT((40*($A22-1)+6*($A22-1)^2+5)/10))</f>
        <v>1</v>
      </c>
      <c r="C22" s="23" t="n">
        <f aca="false">IF($A22&gt;$E$11,"",$D$11+INT((40*($A22-1)+6*($A22-1)^2+5)/10))</f>
        <v>3</v>
      </c>
      <c r="D22" s="23" t="n">
        <f aca="false">IF($A22&gt;$E$12,"",$D$12+INT((40*($A22-1)+6*($A22-1)^2+5)/10))</f>
        <v>5</v>
      </c>
      <c r="E22" s="23" t="n">
        <f aca="false">IF($A22&gt;$E$13,"",$D$13+CHOOSE($A22,0,12,28,48,72))</f>
        <v>1</v>
      </c>
      <c r="F22" s="23" t="n">
        <f aca="false">IF($A22&gt;$E$14,"",$D$14+INT((40*($A22-1)+6*($A22-1)^2+5)/10))</f>
        <v>10</v>
      </c>
      <c r="G22" s="23" t="n">
        <f aca="false">IF($A22&gt;$E$15,"",$D$15+INT((40*($A22-1)+6*($A22-1)^2+5)/10))</f>
        <v>1</v>
      </c>
      <c r="H22" s="23" t="n">
        <f aca="false">IF($A22&gt;$E$16,"",$D$16+INT((40*($A22-1)+6*($A22-1)^2+5)/10))</f>
        <v>8</v>
      </c>
      <c r="I22" s="23" t="n">
        <f aca="false">IF($A22&gt;$E$17,"",$D$17+INT((40*($A22-1)+6*($A22-1)^2+5)/10))</f>
        <v>6</v>
      </c>
      <c r="J22" s="23" t="n">
        <f aca="false">IF($A22&gt;$E$18,"",$D$18+INT((40*($A22-1)+6*($A22-1)^2+5)/10))</f>
        <v>4</v>
      </c>
    </row>
    <row r="23" customFormat="false" ht="15" hidden="false" customHeight="true" outlineLevel="0" collapsed="false">
      <c r="A23" s="16" t="n">
        <v>2</v>
      </c>
      <c r="B23" s="25" t="n">
        <f aca="false">IF($A23&gt;$E$10,"",$D$10+INT((40*($A23-1)+6*($A23-1)^2+5)/10))</f>
        <v>6</v>
      </c>
      <c r="C23" s="25" t="n">
        <f aca="false">IF($A23&gt;$E$11,"",$D$11+INT((40*($A23-1)+6*($A23-1)^2+5)/10))</f>
        <v>8</v>
      </c>
      <c r="D23" s="25" t="n">
        <f aca="false">IF($A23&gt;$E$12,"",$D$12+INT((40*($A23-1)+6*($A23-1)^2+5)/10))</f>
        <v>10</v>
      </c>
      <c r="E23" s="25" t="n">
        <f aca="false">IF($A23&gt;$E$13,"",$D$13+CHOOSE($A23,0,12,28,48,72))</f>
        <v>13</v>
      </c>
      <c r="F23" s="25" t="n">
        <f aca="false">IF($A23&gt;$E$14,"",$D$14+INT((40*($A23-1)+6*($A23-1)^2+5)/10))</f>
        <v>15</v>
      </c>
      <c r="G23" s="25" t="n">
        <f aca="false">IF($A23&gt;$E$15,"",$D$15+INT((40*($A23-1)+6*($A23-1)^2+5)/10))</f>
        <v>6</v>
      </c>
      <c r="H23" s="25" t="n">
        <f aca="false">IF($A23&gt;$E$16,"",$D$16+INT((40*($A23-1)+6*($A23-1)^2+5)/10))</f>
        <v>13</v>
      </c>
      <c r="I23" s="25" t="n">
        <f aca="false">IF($A23&gt;$E$17,"",$D$17+INT((40*($A23-1)+6*($A23-1)^2+5)/10))</f>
        <v>11</v>
      </c>
      <c r="J23" s="25" t="n">
        <f aca="false">IF($A23&gt;$E$18,"",$D$18+INT((40*($A23-1)+6*($A23-1)^2+5)/10))</f>
        <v>9</v>
      </c>
    </row>
    <row r="24" customFormat="false" ht="15" hidden="false" customHeight="true" outlineLevel="0" collapsed="false">
      <c r="A24" s="16" t="n">
        <v>3</v>
      </c>
      <c r="B24" s="23" t="n">
        <f aca="false">IF($A24&gt;$E$10,"",$D$10+INT((40*($A24-1)+6*($A24-1)^2+5)/10))</f>
        <v>11</v>
      </c>
      <c r="C24" s="23" t="n">
        <f aca="false">IF($A24&gt;$E$11,"",$D$11+INT((40*($A24-1)+6*($A24-1)^2+5)/10))</f>
        <v>13</v>
      </c>
      <c r="D24" s="23" t="n">
        <f aca="false">IF($A24&gt;$E$12,"",$D$12+INT((40*($A24-1)+6*($A24-1)^2+5)/10))</f>
        <v>15</v>
      </c>
      <c r="E24" s="23" t="n">
        <f aca="false">IF($A24&gt;$E$13,"",$D$13+CHOOSE($A24,0,12,28,48,72))</f>
        <v>29</v>
      </c>
      <c r="F24" s="23" t="n">
        <f aca="false">IF($A24&gt;$E$14,"",$D$14+INT((40*($A24-1)+6*($A24-1)^2+5)/10))</f>
        <v>20</v>
      </c>
      <c r="G24" s="23" t="n">
        <f aca="false">IF($A24&gt;$E$15,"",$D$15+INT((40*($A24-1)+6*($A24-1)^2+5)/10))</f>
        <v>11</v>
      </c>
      <c r="H24" s="23" t="n">
        <f aca="false">IF($A24&gt;$E$16,"",$D$16+INT((40*($A24-1)+6*($A24-1)^2+5)/10))</f>
        <v>18</v>
      </c>
      <c r="I24" s="23" t="n">
        <f aca="false">IF($A24&gt;$E$17,"",$D$17+INT((40*($A24-1)+6*($A24-1)^2+5)/10))</f>
        <v>16</v>
      </c>
      <c r="J24" s="23" t="n">
        <f aca="false">IF($A24&gt;$E$18,"",$D$18+INT((40*($A24-1)+6*($A24-1)^2+5)/10))</f>
        <v>14</v>
      </c>
    </row>
    <row r="25" customFormat="false" ht="15" hidden="false" customHeight="true" outlineLevel="0" collapsed="false">
      <c r="A25" s="16" t="n">
        <v>4</v>
      </c>
      <c r="B25" s="25" t="n">
        <f aca="false">IF($A25&gt;$E$10,"",$D$10+INT((40*($A25-1)+6*($A25-1)^2+5)/10))</f>
        <v>18</v>
      </c>
      <c r="C25" s="25" t="n">
        <f aca="false">IF($A25&gt;$E$11,"",$D$11+INT((40*($A25-1)+6*($A25-1)^2+5)/10))</f>
        <v>20</v>
      </c>
      <c r="D25" s="25" t="n">
        <f aca="false">IF($A25&gt;$E$12,"",$D$12+INT((40*($A25-1)+6*($A25-1)^2+5)/10))</f>
        <v>22</v>
      </c>
      <c r="E25" s="25" t="n">
        <f aca="false">IF($A25&gt;$E$13,"",$D$13+CHOOSE($A25,0,12,28,48,72))</f>
        <v>49</v>
      </c>
      <c r="F25" s="25" t="n">
        <f aca="false">IF($A25&gt;$E$14,"",$D$14+INT((40*($A25-1)+6*($A25-1)^2+5)/10))</f>
        <v>27</v>
      </c>
      <c r="G25" s="25" t="n">
        <f aca="false">IF($A25&gt;$E$15,"",$D$15+INT((40*($A25-1)+6*($A25-1)^2+5)/10))</f>
        <v>18</v>
      </c>
      <c r="H25" s="25" t="n">
        <f aca="false">IF($A25&gt;$E$16,"",$D$16+INT((40*($A25-1)+6*($A25-1)^2+5)/10))</f>
        <v>25</v>
      </c>
      <c r="I25" s="25" t="n">
        <f aca="false">IF($A25&gt;$E$17,"",$D$17+INT((40*($A25-1)+6*($A25-1)^2+5)/10))</f>
        <v>23</v>
      </c>
      <c r="J25" s="25" t="n">
        <f aca="false">IF($A25&gt;$E$18,"",$D$18+INT((40*($A25-1)+6*($A25-1)^2+5)/10))</f>
        <v>21</v>
      </c>
    </row>
    <row r="26" customFormat="false" ht="15" hidden="false" customHeight="true" outlineLevel="0" collapsed="false">
      <c r="A26" s="16" t="n">
        <v>5</v>
      </c>
      <c r="B26" s="23" t="n">
        <f aca="false">IF($A26&gt;$E$10,"",$D$10+INT((40*($A26-1)+6*($A26-1)^2+5)/10))</f>
        <v>27</v>
      </c>
      <c r="C26" s="23" t="n">
        <f aca="false">IF($A26&gt;$E$11,"",$D$11+INT((40*($A26-1)+6*($A26-1)^2+5)/10))</f>
        <v>29</v>
      </c>
      <c r="D26" s="23" t="n">
        <f aca="false">IF($A26&gt;$E$12,"",$D$12+INT((40*($A26-1)+6*($A26-1)^2+5)/10))</f>
        <v>31</v>
      </c>
      <c r="E26" s="23" t="n">
        <f aca="false">IF($A26&gt;$E$13,"",$D$13+CHOOSE($A26,0,12,28,48,72))</f>
        <v>73</v>
      </c>
      <c r="F26" s="23" t="n">
        <f aca="false">IF($A26&gt;$E$14,"",$D$14+INT((40*($A26-1)+6*($A26-1)^2+5)/10))</f>
        <v>36</v>
      </c>
      <c r="G26" s="23" t="n">
        <f aca="false">IF($A26&gt;$E$15,"",$D$15+INT((40*($A26-1)+6*($A26-1)^2+5)/10))</f>
        <v>27</v>
      </c>
      <c r="H26" s="23" t="n">
        <f aca="false">IF($A26&gt;$E$16,"",$D$16+INT((40*($A26-1)+6*($A26-1)^2+5)/10))</f>
        <v>34</v>
      </c>
      <c r="I26" s="23" t="n">
        <f aca="false">IF($A26&gt;$E$17,"",$D$17+INT((40*($A26-1)+6*($A26-1)^2+5)/10))</f>
        <v>32</v>
      </c>
      <c r="J26" s="23" t="n">
        <f aca="false">IF($A26&gt;$E$18,"",$D$18+INT((40*($A26-1)+6*($A26-1)^2+5)/10))</f>
        <v>30</v>
      </c>
    </row>
    <row r="27" customFormat="false" ht="15" hidden="false" customHeight="true" outlineLevel="0" collapsed="false">
      <c r="A27" s="16" t="n">
        <v>6</v>
      </c>
      <c r="B27" s="25" t="n">
        <f aca="false">IF($A27&gt;$E$10,"",$D$10+INT((40*($A27-1)+6*($A27-1)^2+5)/10))</f>
        <v>36</v>
      </c>
      <c r="C27" s="25" t="n">
        <f aca="false">IF($A27&gt;$E$11,"",$D$11+INT((40*($A27-1)+6*($A27-1)^2+5)/10))</f>
        <v>38</v>
      </c>
      <c r="D27" s="25" t="n">
        <f aca="false">IF($A27&gt;$E$12,"",$D$12+INT((40*($A27-1)+6*($A27-1)^2+5)/10))</f>
        <v>40</v>
      </c>
      <c r="E27" s="25" t="str">
        <f aca="false">IF($A27&gt;$E$13,"",$D$13+CHOOSE($A27,0,12,28,48,72))</f>
        <v/>
      </c>
      <c r="F27" s="25" t="n">
        <f aca="false">IF($A27&gt;$E$14,"",$D$14+INT((40*($A27-1)+6*($A27-1)^2+5)/10))</f>
        <v>45</v>
      </c>
      <c r="G27" s="25" t="n">
        <f aca="false">IF($A27&gt;$E$15,"",$D$15+INT((40*($A27-1)+6*($A27-1)^2+5)/10))</f>
        <v>36</v>
      </c>
      <c r="H27" s="25" t="n">
        <f aca="false">IF($A27&gt;$E$16,"",$D$16+INT((40*($A27-1)+6*($A27-1)^2+5)/10))</f>
        <v>43</v>
      </c>
      <c r="I27" s="25" t="n">
        <f aca="false">IF($A27&gt;$E$17,"",$D$17+INT((40*($A27-1)+6*($A27-1)^2+5)/10))</f>
        <v>41</v>
      </c>
      <c r="J27" s="25" t="n">
        <f aca="false">IF($A27&gt;$E$18,"",$D$18+INT((40*($A27-1)+6*($A27-1)^2+5)/10))</f>
        <v>39</v>
      </c>
    </row>
    <row r="28" customFormat="false" ht="15" hidden="false" customHeight="true" outlineLevel="0" collapsed="false">
      <c r="A28" s="16" t="n">
        <v>7</v>
      </c>
      <c r="B28" s="23" t="n">
        <f aca="false">IF($A28&gt;$E$10,"",$D$10+INT((40*($A28-1)+6*($A28-1)^2+5)/10))</f>
        <v>47</v>
      </c>
      <c r="C28" s="23" t="n">
        <f aca="false">IF($A28&gt;$E$11,"",$D$11+INT((40*($A28-1)+6*($A28-1)^2+5)/10))</f>
        <v>49</v>
      </c>
      <c r="D28" s="23" t="n">
        <f aca="false">IF($A28&gt;$E$12,"",$D$12+INT((40*($A28-1)+6*($A28-1)^2+5)/10))</f>
        <v>51</v>
      </c>
      <c r="E28" s="23" t="str">
        <f aca="false">IF($A28&gt;$E$13,"",$D$13+CHOOSE($A28,0,12,28,48,72))</f>
        <v/>
      </c>
      <c r="F28" s="23" t="n">
        <f aca="false">IF($A28&gt;$E$14,"",$D$14+INT((40*($A28-1)+6*($A28-1)^2+5)/10))</f>
        <v>56</v>
      </c>
      <c r="G28" s="23" t="n">
        <f aca="false">IF($A28&gt;$E$15,"",$D$15+INT((40*($A28-1)+6*($A28-1)^2+5)/10))</f>
        <v>47</v>
      </c>
      <c r="H28" s="23" t="n">
        <f aca="false">IF($A28&gt;$E$16,"",$D$16+INT((40*($A28-1)+6*($A28-1)^2+5)/10))</f>
        <v>54</v>
      </c>
      <c r="I28" s="23" t="n">
        <f aca="false">IF($A28&gt;$E$17,"",$D$17+INT((40*($A28-1)+6*($A28-1)^2+5)/10))</f>
        <v>52</v>
      </c>
      <c r="J28" s="23" t="n">
        <f aca="false">IF($A28&gt;$E$18,"",$D$18+INT((40*($A28-1)+6*($A28-1)^2+5)/10))</f>
        <v>50</v>
      </c>
    </row>
    <row r="29" customFormat="false" ht="15" hidden="false" customHeight="true" outlineLevel="0" collapsed="false">
      <c r="A29" s="16" t="n">
        <v>8</v>
      </c>
      <c r="B29" s="25" t="n">
        <f aca="false">IF($A29&gt;$E$10,"",$D$10+INT((40*($A29-1)+6*($A29-1)^2+5)/10))</f>
        <v>58</v>
      </c>
      <c r="C29" s="25" t="n">
        <f aca="false">IF($A29&gt;$E$11,"",$D$11+INT((40*($A29-1)+6*($A29-1)^2+5)/10))</f>
        <v>60</v>
      </c>
      <c r="D29" s="25" t="n">
        <f aca="false">IF($A29&gt;$E$12,"",$D$12+INT((40*($A29-1)+6*($A29-1)^2+5)/10))</f>
        <v>62</v>
      </c>
      <c r="E29" s="25" t="str">
        <f aca="false">IF($A29&gt;$E$13,"",$D$13+CHOOSE($A29,0,12,28,48,72))</f>
        <v/>
      </c>
      <c r="F29" s="25" t="n">
        <f aca="false">IF($A29&gt;$E$14,"",$D$14+INT((40*($A29-1)+6*($A29-1)^2+5)/10))</f>
        <v>67</v>
      </c>
      <c r="G29" s="25" t="n">
        <f aca="false">IF($A29&gt;$E$15,"",$D$15+INT((40*($A29-1)+6*($A29-1)^2+5)/10))</f>
        <v>58</v>
      </c>
      <c r="H29" s="25" t="n">
        <f aca="false">IF($A29&gt;$E$16,"",$D$16+INT((40*($A29-1)+6*($A29-1)^2+5)/10))</f>
        <v>65</v>
      </c>
      <c r="I29" s="25" t="n">
        <f aca="false">IF($A29&gt;$E$17,"",$D$17+INT((40*($A29-1)+6*($A29-1)^2+5)/10))</f>
        <v>63</v>
      </c>
      <c r="J29" s="25" t="n">
        <f aca="false">IF($A29&gt;$E$18,"",$D$18+INT((40*($A29-1)+6*($A29-1)^2+5)/10))</f>
        <v>61</v>
      </c>
    </row>
    <row r="30" customFormat="false" ht="15" hidden="false" customHeight="true" outlineLevel="0" collapsed="false">
      <c r="A30" s="16" t="n">
        <v>9</v>
      </c>
      <c r="B30" s="23" t="n">
        <f aca="false">IF($A30&gt;$E$10,"",$D$10+INT((40*($A30-1)+6*($A30-1)^2+5)/10))</f>
        <v>71</v>
      </c>
      <c r="C30" s="23" t="n">
        <f aca="false">IF($A30&gt;$E$11,"",$D$11+INT((40*($A30-1)+6*($A30-1)^2+5)/10))</f>
        <v>73</v>
      </c>
      <c r="D30" s="23" t="n">
        <f aca="false">IF($A30&gt;$E$12,"",$D$12+INT((40*($A30-1)+6*($A30-1)^2+5)/10))</f>
        <v>75</v>
      </c>
      <c r="E30" s="23" t="str">
        <f aca="false">IF($A30&gt;$E$13,"",$D$13+CHOOSE($A30,0,12,28,48,72))</f>
        <v/>
      </c>
      <c r="F30" s="23" t="n">
        <f aca="false">IF($A30&gt;$E$14,"",$D$14+INT((40*($A30-1)+6*($A30-1)^2+5)/10))</f>
        <v>80</v>
      </c>
      <c r="G30" s="23" t="n">
        <f aca="false">IF($A30&gt;$E$15,"",$D$15+INT((40*($A30-1)+6*($A30-1)^2+5)/10))</f>
        <v>71</v>
      </c>
      <c r="H30" s="23" t="n">
        <f aca="false">IF($A30&gt;$E$16,"",$D$16+INT((40*($A30-1)+6*($A30-1)^2+5)/10))</f>
        <v>78</v>
      </c>
      <c r="I30" s="23" t="n">
        <f aca="false">IF($A30&gt;$E$17,"",$D$17+INT((40*($A30-1)+6*($A30-1)^2+5)/10))</f>
        <v>76</v>
      </c>
      <c r="J30" s="23" t="n">
        <f aca="false">IF($A30&gt;$E$18,"",$D$18+INT((40*($A30-1)+6*($A30-1)^2+5)/10))</f>
        <v>74</v>
      </c>
    </row>
    <row r="31" customFormat="false" ht="15" hidden="false" customHeight="true" outlineLevel="0" collapsed="false">
      <c r="A31" s="16" t="n">
        <v>10</v>
      </c>
      <c r="B31" s="25" t="n">
        <f aca="false">IF($A31&gt;$E$10,"",$D$10+INT((40*($A31-1)+6*($A31-1)^2+5)/10))</f>
        <v>86</v>
      </c>
      <c r="C31" s="25" t="n">
        <f aca="false">IF($A31&gt;$E$11,"",$D$11+INT((40*($A31-1)+6*($A31-1)^2+5)/10))</f>
        <v>88</v>
      </c>
      <c r="D31" s="25" t="n">
        <f aca="false">IF($A31&gt;$E$12,"",$D$12+INT((40*($A31-1)+6*($A31-1)^2+5)/10))</f>
        <v>90</v>
      </c>
      <c r="E31" s="25" t="str">
        <f aca="false">IF($A31&gt;$E$13,"",$D$13+CHOOSE($A31,0,12,28,48,72))</f>
        <v/>
      </c>
      <c r="F31" s="25" t="n">
        <f aca="false">IF($A31&gt;$E$14,"",$D$14+INT((40*($A31-1)+6*($A31-1)^2+5)/10))</f>
        <v>95</v>
      </c>
      <c r="G31" s="25" t="n">
        <f aca="false">IF($A31&gt;$E$15,"",$D$15+INT((40*($A31-1)+6*($A31-1)^2+5)/10))</f>
        <v>86</v>
      </c>
      <c r="H31" s="25" t="n">
        <f aca="false">IF($A31&gt;$E$16,"",$D$16+INT((40*($A31-1)+6*($A31-1)^2+5)/10))</f>
        <v>93</v>
      </c>
      <c r="I31" s="25" t="n">
        <f aca="false">IF($A31&gt;$E$17,"",$D$17+INT((40*($A31-1)+6*($A31-1)^2+5)/10))</f>
        <v>91</v>
      </c>
      <c r="J31" s="25" t="n">
        <f aca="false">IF($A31&gt;$E$18,"",$D$18+INT((40*($A31-1)+6*($A31-1)^2+5)/10))</f>
        <v>89</v>
      </c>
    </row>
    <row r="33" customFormat="false" ht="15" hidden="false" customHeight="true" outlineLevel="0" collapsed="false">
      <c r="A33" s="6" t="s">
        <v>404</v>
      </c>
    </row>
    <row r="34" customFormat="false" ht="30" hidden="false" customHeight="true" outlineLevel="0" collapsed="false">
      <c r="A34" s="11" t="s">
        <v>131</v>
      </c>
      <c r="B34" s="11" t="s">
        <v>396</v>
      </c>
      <c r="C34" s="11" t="s">
        <v>397</v>
      </c>
      <c r="D34" s="11" t="s">
        <v>398</v>
      </c>
      <c r="E34" s="11" t="s">
        <v>399</v>
      </c>
      <c r="F34" s="11" t="s">
        <v>400</v>
      </c>
      <c r="G34" s="11" t="s">
        <v>401</v>
      </c>
      <c r="H34" s="11" t="s">
        <v>402</v>
      </c>
      <c r="I34" s="11" t="s">
        <v>403</v>
      </c>
      <c r="J34" s="11" t="s">
        <v>133</v>
      </c>
    </row>
    <row r="35" customFormat="false" ht="15" hidden="false" customHeight="true" outlineLevel="0" collapsed="false">
      <c r="A35" s="16" t="n">
        <v>1</v>
      </c>
      <c r="B35" s="14" t="n">
        <f aca="false">IF(B22="","",ROUND($C$10*($B$5+$B$6*B22)/($B$5+$B$6*1)/5,0)*5)</f>
        <v>30</v>
      </c>
      <c r="C35" s="14" t="n">
        <f aca="false">IF(C22="","",ROUND($C$11*($B$5+$B$6*C22)/($B$5+$B$6*1)/5,0)*5)</f>
        <v>35</v>
      </c>
      <c r="D35" s="14" t="n">
        <f aca="false">IF(D22="","",ROUND($C$12*($B$5+$B$6*D22)/($B$5+$B$6*1)/5,0)*5)</f>
        <v>35</v>
      </c>
      <c r="E35" s="14" t="n">
        <f aca="false">IF(E22="","",ROUND($C$13*($B$5+$B$6*E22)/($B$5+$B$6*1)/5,0)*5)</f>
        <v>40</v>
      </c>
      <c r="F35" s="14" t="n">
        <f aca="false">IF(F22="","",ROUND($C$14*($B$5+$B$6*F22)/($B$5+$B$6*1)/5,0)*5)</f>
        <v>75</v>
      </c>
      <c r="G35" s="14" t="n">
        <f aca="false">IF(G22="","",ROUND($C$15*($B$5+$B$6*G22)/($B$5+$B$6*1)/5,0)*5)</f>
        <v>30</v>
      </c>
      <c r="H35" s="14" t="n">
        <f aca="false">IF(H22="","",ROUND($C$16*($B$5+$B$6*H22)/($B$5+$B$6*1)/5,0)*5)</f>
        <v>55</v>
      </c>
      <c r="I35" s="14" t="n">
        <f aca="false">IF(I22="","",ROUND($C$17*($B$5+$B$6*I22)/($B$5+$B$6*1)/5,0)*5)</f>
        <v>50</v>
      </c>
      <c r="J35" s="14" t="n">
        <f aca="false">IF(J22="","",ROUND($C$18*($B$5+$B$6*J22)/($B$5+$B$6*1)/5,0)*5)</f>
        <v>35</v>
      </c>
    </row>
    <row r="36" customFormat="false" ht="15" hidden="false" customHeight="true" outlineLevel="0" collapsed="false">
      <c r="A36" s="16" t="n">
        <v>2</v>
      </c>
      <c r="B36" s="15" t="n">
        <f aca="false">IF(B23="","",ROUND($C$10*($B$5+$B$6*B23)/($B$5+$B$6*1)/5,0)*5)</f>
        <v>50</v>
      </c>
      <c r="C36" s="15" t="n">
        <f aca="false">IF(C23="","",ROUND($C$11*($B$5+$B$6*C23)/($B$5+$B$6*1)/5,0)*5)</f>
        <v>55</v>
      </c>
      <c r="D36" s="15" t="n">
        <f aca="false">IF(D23="","",ROUND($C$12*($B$5+$B$6*D23)/($B$5+$B$6*1)/5,0)*5)</f>
        <v>50</v>
      </c>
      <c r="E36" s="15" t="n">
        <f aca="false">IF(E23="","",ROUND($C$13*($B$5+$B$6*E23)/($B$5+$B$6*1)/5,0)*5)</f>
        <v>100</v>
      </c>
      <c r="F36" s="15" t="n">
        <f aca="false">IF(F23="","",ROUND($C$14*($B$5+$B$6*F23)/($B$5+$B$6*1)/5,0)*5)</f>
        <v>95</v>
      </c>
      <c r="G36" s="15" t="n">
        <f aca="false">IF(G23="","",ROUND($C$15*($B$5+$B$6*G23)/($B$5+$B$6*1)/5,0)*5)</f>
        <v>50</v>
      </c>
      <c r="H36" s="15" t="n">
        <f aca="false">IF(H23="","",ROUND($C$16*($B$5+$B$6*H23)/($B$5+$B$6*1)/5,0)*5)</f>
        <v>75</v>
      </c>
      <c r="I36" s="15" t="n">
        <f aca="false">IF(I23="","",ROUND($C$17*($B$5+$B$6*I23)/($B$5+$B$6*1)/5,0)*5)</f>
        <v>65</v>
      </c>
      <c r="J36" s="15" t="n">
        <f aca="false">IF(J23="","",ROUND($C$18*($B$5+$B$6*J23)/($B$5+$B$6*1)/5,0)*5)</f>
        <v>50</v>
      </c>
    </row>
    <row r="37" customFormat="false" ht="15" hidden="false" customHeight="true" outlineLevel="0" collapsed="false">
      <c r="A37" s="16" t="n">
        <v>3</v>
      </c>
      <c r="B37" s="14" t="n">
        <f aca="false">IF(B24="","",ROUND($C$10*($B$5+$B$6*B24)/($B$5+$B$6*1)/5,0)*5)</f>
        <v>65</v>
      </c>
      <c r="C37" s="14" t="n">
        <f aca="false">IF(C24="","",ROUND($C$11*($B$5+$B$6*C24)/($B$5+$B$6*1)/5,0)*5)</f>
        <v>75</v>
      </c>
      <c r="D37" s="14" t="n">
        <f aca="false">IF(D24="","",ROUND($C$12*($B$5+$B$6*D24)/($B$5+$B$6*1)/5,0)*5)</f>
        <v>65</v>
      </c>
      <c r="E37" s="14" t="n">
        <f aca="false">IF(E24="","",ROUND($C$13*($B$5+$B$6*E24)/($B$5+$B$6*1)/5,0)*5)</f>
        <v>175</v>
      </c>
      <c r="F37" s="14" t="n">
        <f aca="false">IF(F24="","",ROUND($C$14*($B$5+$B$6*F24)/($B$5+$B$6*1)/5,0)*5)</f>
        <v>115</v>
      </c>
      <c r="G37" s="14" t="n">
        <f aca="false">IF(G24="","",ROUND($C$15*($B$5+$B$6*G24)/($B$5+$B$6*1)/5,0)*5)</f>
        <v>65</v>
      </c>
      <c r="H37" s="14" t="n">
        <f aca="false">IF(H24="","",ROUND($C$16*($B$5+$B$6*H24)/($B$5+$B$6*1)/5,0)*5)</f>
        <v>90</v>
      </c>
      <c r="I37" s="14" t="n">
        <f aca="false">IF(I24="","",ROUND($C$17*($B$5+$B$6*I24)/($B$5+$B$6*1)/5,0)*5)</f>
        <v>85</v>
      </c>
      <c r="J37" s="14" t="n">
        <f aca="false">IF(J24="","",ROUND($C$18*($B$5+$B$6*J24)/($B$5+$B$6*1)/5,0)*5)</f>
        <v>65</v>
      </c>
    </row>
    <row r="38" customFormat="false" ht="15" hidden="false" customHeight="true" outlineLevel="0" collapsed="false">
      <c r="A38" s="16" t="n">
        <v>4</v>
      </c>
      <c r="B38" s="15" t="n">
        <f aca="false">IF(B25="","",ROUND($C$10*($B$5+$B$6*B25)/($B$5+$B$6*1)/5,0)*5)</f>
        <v>90</v>
      </c>
      <c r="C38" s="15" t="n">
        <f aca="false">IF(C25="","",ROUND($C$11*($B$5+$B$6*C25)/($B$5+$B$6*1)/5,0)*5)</f>
        <v>100</v>
      </c>
      <c r="D38" s="15" t="n">
        <f aca="false">IF(D25="","",ROUND($C$12*($B$5+$B$6*D25)/($B$5+$B$6*1)/5,0)*5)</f>
        <v>90</v>
      </c>
      <c r="E38" s="15" t="n">
        <f aca="false">IF(E25="","",ROUND($C$13*($B$5+$B$6*E25)/($B$5+$B$6*1)/5,0)*5)</f>
        <v>270</v>
      </c>
      <c r="F38" s="15" t="n">
        <f aca="false">IF(F25="","",ROUND($C$14*($B$5+$B$6*F25)/($B$5+$B$6*1)/5,0)*5)</f>
        <v>145</v>
      </c>
      <c r="G38" s="15" t="n">
        <f aca="false">IF(G25="","",ROUND($C$15*($B$5+$B$6*G25)/($B$5+$B$6*1)/5,0)*5)</f>
        <v>90</v>
      </c>
      <c r="H38" s="15" t="n">
        <f aca="false">IF(H25="","",ROUND($C$16*($B$5+$B$6*H25)/($B$5+$B$6*1)/5,0)*5)</f>
        <v>115</v>
      </c>
      <c r="I38" s="15" t="n">
        <f aca="false">IF(I25="","",ROUND($C$17*($B$5+$B$6*I25)/($B$5+$B$6*1)/5,0)*5)</f>
        <v>110</v>
      </c>
      <c r="J38" s="15" t="n">
        <f aca="false">IF(J25="","",ROUND($C$18*($B$5+$B$6*J25)/($B$5+$B$6*1)/5,0)*5)</f>
        <v>85</v>
      </c>
    </row>
    <row r="39" customFormat="false" ht="15" hidden="false" customHeight="true" outlineLevel="0" collapsed="false">
      <c r="A39" s="16" t="n">
        <v>5</v>
      </c>
      <c r="B39" s="14" t="n">
        <f aca="false">IF(B26="","",ROUND($C$10*($B$5+$B$6*B26)/($B$5+$B$6*1)/5,0)*5)</f>
        <v>125</v>
      </c>
      <c r="C39" s="14" t="n">
        <f aca="false">IF(C26="","",ROUND($C$11*($B$5+$B$6*C26)/($B$5+$B$6*1)/5,0)*5)</f>
        <v>130</v>
      </c>
      <c r="D39" s="14" t="n">
        <f aca="false">IF(D26="","",ROUND($C$12*($B$5+$B$6*D26)/($B$5+$B$6*1)/5,0)*5)</f>
        <v>115</v>
      </c>
      <c r="E39" s="14" t="n">
        <f aca="false">IF(E26="","",ROUND($C$13*($B$5+$B$6*E26)/($B$5+$B$6*1)/5,0)*5)</f>
        <v>390</v>
      </c>
      <c r="F39" s="14" t="n">
        <f aca="false">IF(F26="","",ROUND($C$14*($B$5+$B$6*F26)/($B$5+$B$6*1)/5,0)*5)</f>
        <v>185</v>
      </c>
      <c r="G39" s="14" t="n">
        <f aca="false">IF(G26="","",ROUND($C$15*($B$5+$B$6*G26)/($B$5+$B$6*1)/5,0)*5)</f>
        <v>125</v>
      </c>
      <c r="H39" s="14" t="n">
        <f aca="false">IF(H26="","",ROUND($C$16*($B$5+$B$6*H26)/($B$5+$B$6*1)/5,0)*5)</f>
        <v>150</v>
      </c>
      <c r="I39" s="14" t="n">
        <f aca="false">IF(I26="","",ROUND($C$17*($B$5+$B$6*I26)/($B$5+$B$6*1)/5,0)*5)</f>
        <v>140</v>
      </c>
      <c r="J39" s="14" t="n">
        <f aca="false">IF(J26="","",ROUND($C$18*($B$5+$B$6*J26)/($B$5+$B$6*1)/5,0)*5)</f>
        <v>115</v>
      </c>
    </row>
    <row r="40" customFormat="false" ht="15" hidden="false" customHeight="true" outlineLevel="0" collapsed="false">
      <c r="A40" s="16" t="n">
        <v>6</v>
      </c>
      <c r="B40" s="15" t="n">
        <f aca="false">IF(B27="","",ROUND($C$10*($B$5+$B$6*B27)/($B$5+$B$6*1)/5,0)*5)</f>
        <v>155</v>
      </c>
      <c r="C40" s="15" t="n">
        <f aca="false">IF(C27="","",ROUND($C$11*($B$5+$B$6*C27)/($B$5+$B$6*1)/5,0)*5)</f>
        <v>165</v>
      </c>
      <c r="D40" s="15" t="n">
        <f aca="false">IF(D27="","",ROUND($C$12*($B$5+$B$6*D27)/($B$5+$B$6*1)/5,0)*5)</f>
        <v>145</v>
      </c>
      <c r="E40" s="15" t="str">
        <f aca="false">IF(E27="","",ROUND($C$13*($B$5+$B$6*E27)/($B$5+$B$6*1)/5,0)*5)</f>
        <v/>
      </c>
      <c r="F40" s="15" t="n">
        <f aca="false">IF(F27="","",ROUND($C$14*($B$5+$B$6*F27)/($B$5+$B$6*1)/5,0)*5)</f>
        <v>220</v>
      </c>
      <c r="G40" s="15" t="n">
        <f aca="false">IF(G27="","",ROUND($C$15*($B$5+$B$6*G27)/($B$5+$B$6*1)/5,0)*5)</f>
        <v>155</v>
      </c>
      <c r="H40" s="15" t="n">
        <f aca="false">IF(H27="","",ROUND($C$16*($B$5+$B$6*H27)/($B$5+$B$6*1)/5,0)*5)</f>
        <v>180</v>
      </c>
      <c r="I40" s="15" t="n">
        <f aca="false">IF(I27="","",ROUND($C$17*($B$5+$B$6*I27)/($B$5+$B$6*1)/5,0)*5)</f>
        <v>175</v>
      </c>
      <c r="J40" s="15" t="n">
        <f aca="false">IF(J27="","",ROUND($C$18*($B$5+$B$6*J27)/($B$5+$B$6*1)/5,0)*5)</f>
        <v>140</v>
      </c>
    </row>
    <row r="41" customFormat="false" ht="15" hidden="false" customHeight="true" outlineLevel="0" collapsed="false">
      <c r="A41" s="16" t="n">
        <v>7</v>
      </c>
      <c r="B41" s="14" t="n">
        <f aca="false">IF(B28="","",ROUND($C$10*($B$5+$B$6*B28)/($B$5+$B$6*1)/5,0)*5)</f>
        <v>195</v>
      </c>
      <c r="C41" s="14" t="n">
        <f aca="false">IF(C28="","",ROUND($C$11*($B$5+$B$6*C28)/($B$5+$B$6*1)/5,0)*5)</f>
        <v>205</v>
      </c>
      <c r="D41" s="14" t="n">
        <f aca="false">IF(D28="","",ROUND($C$12*($B$5+$B$6*D28)/($B$5+$B$6*1)/5,0)*5)</f>
        <v>175</v>
      </c>
      <c r="E41" s="14" t="str">
        <f aca="false">IF(E28="","",ROUND($C$13*($B$5+$B$6*E28)/($B$5+$B$6*1)/5,0)*5)</f>
        <v/>
      </c>
      <c r="F41" s="14" t="n">
        <f aca="false">IF(F28="","",ROUND($C$14*($B$5+$B$6*F28)/($B$5+$B$6*1)/5,0)*5)</f>
        <v>270</v>
      </c>
      <c r="G41" s="14" t="n">
        <f aca="false">IF(G28="","",ROUND($C$15*($B$5+$B$6*G28)/($B$5+$B$6*1)/5,0)*5)</f>
        <v>195</v>
      </c>
      <c r="H41" s="14" t="n">
        <f aca="false">IF(H28="","",ROUND($C$16*($B$5+$B$6*H28)/($B$5+$B$6*1)/5,0)*5)</f>
        <v>220</v>
      </c>
      <c r="I41" s="14" t="n">
        <f aca="false">IF(I28="","",ROUND($C$17*($B$5+$B$6*I28)/($B$5+$B$6*1)/5,0)*5)</f>
        <v>215</v>
      </c>
      <c r="J41" s="14" t="n">
        <f aca="false">IF(J28="","",ROUND($C$18*($B$5+$B$6*J28)/($B$5+$B$6*1)/5,0)*5)</f>
        <v>175</v>
      </c>
    </row>
    <row r="42" customFormat="false" ht="15" hidden="false" customHeight="true" outlineLevel="0" collapsed="false">
      <c r="A42" s="16" t="n">
        <v>8</v>
      </c>
      <c r="B42" s="15" t="n">
        <f aca="false">IF(B29="","",ROUND($C$10*($B$5+$B$6*B29)/($B$5+$B$6*1)/5,0)*5)</f>
        <v>235</v>
      </c>
      <c r="C42" s="15" t="n">
        <f aca="false">IF(C29="","",ROUND($C$11*($B$5+$B$6*C29)/($B$5+$B$6*1)/5,0)*5)</f>
        <v>245</v>
      </c>
      <c r="D42" s="15" t="n">
        <f aca="false">IF(D29="","",ROUND($C$12*($B$5+$B$6*D29)/($B$5+$B$6*1)/5,0)*5)</f>
        <v>210</v>
      </c>
      <c r="E42" s="15" t="str">
        <f aca="false">IF(E29="","",ROUND($C$13*($B$5+$B$6*E29)/($B$5+$B$6*1)/5,0)*5)</f>
        <v/>
      </c>
      <c r="F42" s="15" t="n">
        <f aca="false">IF(F29="","",ROUND($C$14*($B$5+$B$6*F29)/($B$5+$B$6*1)/5,0)*5)</f>
        <v>315</v>
      </c>
      <c r="G42" s="15" t="n">
        <f aca="false">IF(G29="","",ROUND($C$15*($B$5+$B$6*G29)/($B$5+$B$6*1)/5,0)*5)</f>
        <v>235</v>
      </c>
      <c r="H42" s="15" t="n">
        <f aca="false">IF(H29="","",ROUND($C$16*($B$5+$B$6*H29)/($B$5+$B$6*1)/5,0)*5)</f>
        <v>260</v>
      </c>
      <c r="I42" s="15" t="n">
        <f aca="false">IF(I29="","",ROUND($C$17*($B$5+$B$6*I29)/($B$5+$B$6*1)/5,0)*5)</f>
        <v>255</v>
      </c>
      <c r="J42" s="15" t="n">
        <f aca="false">IF(J29="","",ROUND($C$18*($B$5+$B$6*J29)/($B$5+$B$6*1)/5,0)*5)</f>
        <v>205</v>
      </c>
    </row>
    <row r="43" customFormat="false" ht="15" hidden="false" customHeight="true" outlineLevel="0" collapsed="false">
      <c r="A43" s="16" t="n">
        <v>9</v>
      </c>
      <c r="B43" s="14" t="n">
        <f aca="false">IF(B30="","",ROUND($C$10*($B$5+$B$6*B30)/($B$5+$B$6*1)/5,0)*5)</f>
        <v>285</v>
      </c>
      <c r="C43" s="14" t="n">
        <f aca="false">IF(C30="","",ROUND($C$11*($B$5+$B$6*C30)/($B$5+$B$6*1)/5,0)*5)</f>
        <v>290</v>
      </c>
      <c r="D43" s="14" t="n">
        <f aca="false">IF(D30="","",ROUND($C$12*($B$5+$B$6*D30)/($B$5+$B$6*1)/5,0)*5)</f>
        <v>250</v>
      </c>
      <c r="E43" s="14" t="str">
        <f aca="false">IF(E30="","",ROUND($C$13*($B$5+$B$6*E30)/($B$5+$B$6*1)/5,0)*5)</f>
        <v/>
      </c>
      <c r="F43" s="14" t="n">
        <f aca="false">IF(F30="","",ROUND($C$14*($B$5+$B$6*F30)/($B$5+$B$6*1)/5,0)*5)</f>
        <v>370</v>
      </c>
      <c r="G43" s="14" t="n">
        <f aca="false">IF(G30="","",ROUND($C$15*($B$5+$B$6*G30)/($B$5+$B$6*1)/5,0)*5)</f>
        <v>285</v>
      </c>
      <c r="H43" s="14" t="n">
        <f aca="false">IF(H30="","",ROUND($C$16*($B$5+$B$6*H30)/($B$5+$B$6*1)/5,0)*5)</f>
        <v>310</v>
      </c>
      <c r="I43" s="14" t="n">
        <f aca="false">IF(I30="","",ROUND($C$17*($B$5+$B$6*I30)/($B$5+$B$6*1)/5,0)*5)</f>
        <v>300</v>
      </c>
      <c r="J43" s="14" t="n">
        <f aca="false">IF(J30="","",ROUND($C$18*($B$5+$B$6*J30)/($B$5+$B$6*1)/5,0)*5)</f>
        <v>245</v>
      </c>
    </row>
    <row r="44" customFormat="false" ht="15" hidden="false" customHeight="true" outlineLevel="0" collapsed="false">
      <c r="A44" s="16" t="n">
        <v>10</v>
      </c>
      <c r="B44" s="15" t="n">
        <f aca="false">IF(B31="","",ROUND($C$10*($B$5+$B$6*B31)/($B$5+$B$6*1)/5,0)*5)</f>
        <v>340</v>
      </c>
      <c r="C44" s="15" t="n">
        <f aca="false">IF(C31="","",ROUND($C$11*($B$5+$B$6*C31)/($B$5+$B$6*1)/5,0)*5)</f>
        <v>345</v>
      </c>
      <c r="D44" s="15" t="n">
        <f aca="false">IF(D31="","",ROUND($C$12*($B$5+$B$6*D31)/($B$5+$B$6*1)/5,0)*5)</f>
        <v>295</v>
      </c>
      <c r="E44" s="15" t="str">
        <f aca="false">IF(E31="","",ROUND($C$13*($B$5+$B$6*E31)/($B$5+$B$6*1)/5,0)*5)</f>
        <v/>
      </c>
      <c r="F44" s="15" t="n">
        <f aca="false">IF(F31="","",ROUND($C$14*($B$5+$B$6*F31)/($B$5+$B$6*1)/5,0)*5)</f>
        <v>435</v>
      </c>
      <c r="G44" s="15" t="n">
        <f aca="false">IF(G31="","",ROUND($C$15*($B$5+$B$6*G31)/($B$5+$B$6*1)/5,0)*5)</f>
        <v>340</v>
      </c>
      <c r="H44" s="15" t="n">
        <f aca="false">IF(H31="","",ROUND($C$16*($B$5+$B$6*H31)/($B$5+$B$6*1)/5,0)*5)</f>
        <v>365</v>
      </c>
      <c r="I44" s="15" t="n">
        <f aca="false">IF(I31="","",ROUND($C$17*($B$5+$B$6*I31)/($B$5+$B$6*1)/5,0)*5)</f>
        <v>355</v>
      </c>
      <c r="J44" s="15" t="n">
        <f aca="false">IF(J31="","",ROUND($C$18*($B$5+$B$6*J31)/($B$5+$B$6*1)/5,0)*5)</f>
        <v>290</v>
      </c>
    </row>
    <row r="46" customFormat="false" ht="15" hidden="false" customHeight="true" outlineLevel="0" collapsed="false">
      <c r="A46" s="3" t="s">
        <v>405</v>
      </c>
    </row>
    <row r="47" customFormat="false" ht="15" hidden="false" customHeight="true" outlineLevel="0" collapsed="false">
      <c r="A47" s="3" t="s">
        <v>406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T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0" min="2" style="1" width="12"/>
  </cols>
  <sheetData>
    <row r="1" customFormat="false" ht="21.75" hidden="false" customHeight="true" outlineLevel="0" collapsed="false">
      <c r="A1" s="2" t="s">
        <v>407</v>
      </c>
    </row>
    <row r="2" customFormat="false" ht="15" hidden="false" customHeight="true" outlineLevel="0" collapsed="false">
      <c r="A2" s="3" t="s">
        <v>408</v>
      </c>
    </row>
    <row r="3" customFormat="false" ht="15" hidden="false" customHeight="true" outlineLevel="0" collapsed="false">
      <c r="A3" s="3" t="s">
        <v>409</v>
      </c>
    </row>
    <row r="5" customFormat="false" ht="43.5" hidden="false" customHeight="true" outlineLevel="0" collapsed="false">
      <c r="A5" s="11" t="s">
        <v>410</v>
      </c>
      <c r="B5" s="11" t="s">
        <v>411</v>
      </c>
      <c r="C5" s="11" t="s">
        <v>412</v>
      </c>
      <c r="D5" s="11" t="s">
        <v>413</v>
      </c>
      <c r="E5" s="11" t="s">
        <v>414</v>
      </c>
      <c r="F5" s="11" t="s">
        <v>415</v>
      </c>
      <c r="G5" s="11" t="s">
        <v>416</v>
      </c>
      <c r="H5" s="11" t="s">
        <v>417</v>
      </c>
      <c r="I5" s="11" t="s">
        <v>418</v>
      </c>
      <c r="J5" s="11" t="s">
        <v>419</v>
      </c>
      <c r="K5" s="11" t="s">
        <v>420</v>
      </c>
      <c r="L5" s="11" t="s">
        <v>421</v>
      </c>
      <c r="M5" s="11" t="s">
        <v>422</v>
      </c>
      <c r="N5" s="11" t="s">
        <v>423</v>
      </c>
      <c r="O5" s="11" t="s">
        <v>424</v>
      </c>
      <c r="P5" s="11" t="s">
        <v>425</v>
      </c>
      <c r="Q5" s="11" t="s">
        <v>426</v>
      </c>
      <c r="R5" s="11" t="s">
        <v>427</v>
      </c>
      <c r="S5" s="11" t="s">
        <v>428</v>
      </c>
      <c r="T5" s="11" t="s">
        <v>429</v>
      </c>
    </row>
    <row r="6" customFormat="false" ht="15" hidden="false" customHeight="true" outlineLevel="0" collapsed="false">
      <c r="A6" s="16" t="n">
        <v>1</v>
      </c>
      <c r="B6" s="49" t="n">
        <f aca="false">1+MIN(0.5,$A6*0.02)+0.01*MAX(MIN($A6,55)-25,0)+0.004*MAX(0,$A6-55)</f>
        <v>1.02</v>
      </c>
      <c r="C6" s="50" t="n">
        <f aca="false">IF($A6&gt;=12,1,0)+IF($A6&gt;=18,1,0)+IF($A6&gt;18,INT(($A6-18)/5),0)</f>
        <v>0</v>
      </c>
      <c r="D6" s="50" t="n">
        <f aca="false">IF($A6&gt;=26,1,0)+IF($A6&gt;=38,1,0)+IF($A6&gt;38,INT(($A6-38)/12),0)</f>
        <v>0</v>
      </c>
      <c r="E6" s="50" t="n">
        <f aca="false">IF($A6&gt;=25,1,0)+IF($A6&gt;=50,1,0)+MAX(0,INT(($A6-50)/25))</f>
        <v>0</v>
      </c>
      <c r="F6" s="50" t="n">
        <f aca="false">IF($A6&gt;=60,1,0)+MAX(0,INT(($A6-60)/30))</f>
        <v>0</v>
      </c>
      <c r="G6" s="51" t="n">
        <f aca="false">IF($A6&lt;=18,MAX(0.18,0.9-$A6*0.04),0.06+0.12*EXP(-($A6-18)/25))</f>
        <v>0.86</v>
      </c>
      <c r="H6" s="50" t="n">
        <f aca="false">IF($A6&lt;36,1,IF($A6&lt;60,2,3))</f>
        <v>1</v>
      </c>
      <c r="I6" s="52" t="n">
        <f aca="false">IF($A6&lt;6,0,0.14+0.55*(1-EXP(-($A6-6)/22)))</f>
        <v>0</v>
      </c>
      <c r="J6" s="52" t="n">
        <f aca="false">IF($A6&lt;18,0,0.35*(1-EXP(-($A6-17)/30)))</f>
        <v>0</v>
      </c>
      <c r="K6" s="49" t="n">
        <f aca="false">IF($A6&lt;=15,1,1+(1-EXP(-($A6-15)/15)))</f>
        <v>1</v>
      </c>
      <c r="L6" s="50" t="n">
        <f aca="false">IF($A6&lt;14,0,MIN(8,1+INT(($A6-14)/9)))</f>
        <v>0</v>
      </c>
      <c r="M6" s="50" t="n">
        <f aca="false">IF($A6&lt;16,0,IF($A6&lt;40,1,2))</f>
        <v>0</v>
      </c>
      <c r="N6" s="50" t="n">
        <f aca="false">IF($A6&lt;20,0,MIN(4,1+INT(($A6-20)/12)))</f>
        <v>0</v>
      </c>
      <c r="O6" s="50" t="n">
        <f aca="false">IF($A6&lt;22,0,MIN(3,1+INT(($A6-22)/15)))</f>
        <v>0</v>
      </c>
      <c r="P6" s="50" t="n">
        <f aca="false">IF($A6&lt;28,0,IF($A6&lt;50,1,2))</f>
        <v>0</v>
      </c>
      <c r="Q6" s="50" t="n">
        <f aca="false">1+IF($A6&gt;=34,1,0)+IF($A6&gt;=60,1,0)+MAX(0,INT(($A6-60)/30))</f>
        <v>1</v>
      </c>
      <c r="R6" s="50" t="n">
        <f aca="false">40+2*MAX(0,$A6-10)</f>
        <v>40</v>
      </c>
      <c r="S6" s="50" t="n">
        <f aca="false">60+2*MAX(0,$A6-10)</f>
        <v>60</v>
      </c>
      <c r="T6" s="50" t="n">
        <f aca="false">40+5.5*$A6</f>
        <v>45.5</v>
      </c>
    </row>
    <row r="7" customFormat="false" ht="15" hidden="false" customHeight="true" outlineLevel="0" collapsed="false">
      <c r="A7" s="24" t="n">
        <v>2</v>
      </c>
      <c r="B7" s="53" t="n">
        <f aca="false">1+MIN(0.5,$A7*0.02)+0.01*MAX(MIN($A7,55)-25,0)+0.004*MAX(0,$A7-55)</f>
        <v>1.04</v>
      </c>
      <c r="C7" s="54" t="n">
        <f aca="false">IF($A7&gt;=12,1,0)+IF($A7&gt;=18,1,0)+IF($A7&gt;18,INT(($A7-18)/5),0)</f>
        <v>0</v>
      </c>
      <c r="D7" s="54" t="n">
        <f aca="false">IF($A7&gt;=26,1,0)+IF($A7&gt;=38,1,0)+IF($A7&gt;38,INT(($A7-38)/12),0)</f>
        <v>0</v>
      </c>
      <c r="E7" s="54" t="n">
        <f aca="false">IF($A7&gt;=25,1,0)+IF($A7&gt;=50,1,0)+MAX(0,INT(($A7-50)/25))</f>
        <v>0</v>
      </c>
      <c r="F7" s="54" t="n">
        <f aca="false">IF($A7&gt;=60,1,0)+MAX(0,INT(($A7-60)/30))</f>
        <v>0</v>
      </c>
      <c r="G7" s="55" t="n">
        <f aca="false">IF($A7&lt;=18,MAX(0.18,0.9-$A7*0.04),0.06+0.12*EXP(-($A7-18)/25))</f>
        <v>0.82</v>
      </c>
      <c r="H7" s="54" t="n">
        <f aca="false">IF($A7&lt;36,1,IF($A7&lt;60,2,3))</f>
        <v>1</v>
      </c>
      <c r="I7" s="56" t="n">
        <f aca="false">IF($A7&lt;6,0,0.14+0.55*(1-EXP(-($A7-6)/22)))</f>
        <v>0</v>
      </c>
      <c r="J7" s="56" t="n">
        <f aca="false">IF($A7&lt;18,0,0.35*(1-EXP(-($A7-17)/30)))</f>
        <v>0</v>
      </c>
      <c r="K7" s="53" t="n">
        <f aca="false">IF($A7&lt;=15,1,1+(1-EXP(-($A7-15)/15)))</f>
        <v>1</v>
      </c>
      <c r="L7" s="54" t="n">
        <f aca="false">IF($A7&lt;14,0,MIN(8,1+INT(($A7-14)/9)))</f>
        <v>0</v>
      </c>
      <c r="M7" s="54" t="n">
        <f aca="false">IF($A7&lt;16,0,IF($A7&lt;40,1,2))</f>
        <v>0</v>
      </c>
      <c r="N7" s="54" t="n">
        <f aca="false">IF($A7&lt;20,0,MIN(4,1+INT(($A7-20)/12)))</f>
        <v>0</v>
      </c>
      <c r="O7" s="54" t="n">
        <f aca="false">IF($A7&lt;22,0,MIN(3,1+INT(($A7-22)/15)))</f>
        <v>0</v>
      </c>
      <c r="P7" s="54" t="n">
        <f aca="false">IF($A7&lt;28,0,IF($A7&lt;50,1,2))</f>
        <v>0</v>
      </c>
      <c r="Q7" s="54" t="n">
        <f aca="false">1+IF($A7&gt;=34,1,0)+IF($A7&gt;=60,1,0)+MAX(0,INT(($A7-60)/30))</f>
        <v>1</v>
      </c>
      <c r="R7" s="54" t="n">
        <f aca="false">40+2*MAX(0,$A7-10)</f>
        <v>40</v>
      </c>
      <c r="S7" s="54" t="n">
        <f aca="false">60+2*MAX(0,$A7-10)</f>
        <v>60</v>
      </c>
      <c r="T7" s="54" t="n">
        <f aca="false">40+5.5*$A7</f>
        <v>51</v>
      </c>
    </row>
    <row r="8" customFormat="false" ht="15" hidden="false" customHeight="true" outlineLevel="0" collapsed="false">
      <c r="A8" s="16" t="n">
        <v>3</v>
      </c>
      <c r="B8" s="49" t="n">
        <f aca="false">1+MIN(0.5,$A8*0.02)+0.01*MAX(MIN($A8,55)-25,0)+0.004*MAX(0,$A8-55)</f>
        <v>1.06</v>
      </c>
      <c r="C8" s="50" t="n">
        <f aca="false">IF($A8&gt;=12,1,0)+IF($A8&gt;=18,1,0)+IF($A8&gt;18,INT(($A8-18)/5),0)</f>
        <v>0</v>
      </c>
      <c r="D8" s="50" t="n">
        <f aca="false">IF($A8&gt;=26,1,0)+IF($A8&gt;=38,1,0)+IF($A8&gt;38,INT(($A8-38)/12),0)</f>
        <v>0</v>
      </c>
      <c r="E8" s="50" t="n">
        <f aca="false">IF($A8&gt;=25,1,0)+IF($A8&gt;=50,1,0)+MAX(0,INT(($A8-50)/25))</f>
        <v>0</v>
      </c>
      <c r="F8" s="50" t="n">
        <f aca="false">IF($A8&gt;=60,1,0)+MAX(0,INT(($A8-60)/30))</f>
        <v>0</v>
      </c>
      <c r="G8" s="51" t="n">
        <f aca="false">IF($A8&lt;=18,MAX(0.18,0.9-$A8*0.04),0.06+0.12*EXP(-($A8-18)/25))</f>
        <v>0.78</v>
      </c>
      <c r="H8" s="50" t="n">
        <f aca="false">IF($A8&lt;36,1,IF($A8&lt;60,2,3))</f>
        <v>1</v>
      </c>
      <c r="I8" s="52" t="n">
        <f aca="false">IF($A8&lt;6,0,0.14+0.55*(1-EXP(-($A8-6)/22)))</f>
        <v>0</v>
      </c>
      <c r="J8" s="52" t="n">
        <f aca="false">IF($A8&lt;18,0,0.35*(1-EXP(-($A8-17)/30)))</f>
        <v>0</v>
      </c>
      <c r="K8" s="49" t="n">
        <f aca="false">IF($A8&lt;=15,1,1+(1-EXP(-($A8-15)/15)))</f>
        <v>1</v>
      </c>
      <c r="L8" s="50" t="n">
        <f aca="false">IF($A8&lt;14,0,MIN(8,1+INT(($A8-14)/9)))</f>
        <v>0</v>
      </c>
      <c r="M8" s="50" t="n">
        <f aca="false">IF($A8&lt;16,0,IF($A8&lt;40,1,2))</f>
        <v>0</v>
      </c>
      <c r="N8" s="50" t="n">
        <f aca="false">IF($A8&lt;20,0,MIN(4,1+INT(($A8-20)/12)))</f>
        <v>0</v>
      </c>
      <c r="O8" s="50" t="n">
        <f aca="false">IF($A8&lt;22,0,MIN(3,1+INT(($A8-22)/15)))</f>
        <v>0</v>
      </c>
      <c r="P8" s="50" t="n">
        <f aca="false">IF($A8&lt;28,0,IF($A8&lt;50,1,2))</f>
        <v>0</v>
      </c>
      <c r="Q8" s="50" t="n">
        <f aca="false">1+IF($A8&gt;=34,1,0)+IF($A8&gt;=60,1,0)+MAX(0,INT(($A8-60)/30))</f>
        <v>1</v>
      </c>
      <c r="R8" s="50" t="n">
        <f aca="false">40+2*MAX(0,$A8-10)</f>
        <v>40</v>
      </c>
      <c r="S8" s="50" t="n">
        <f aca="false">60+2*MAX(0,$A8-10)</f>
        <v>60</v>
      </c>
      <c r="T8" s="50" t="n">
        <f aca="false">40+5.5*$A8</f>
        <v>56.5</v>
      </c>
    </row>
    <row r="9" customFormat="false" ht="15" hidden="false" customHeight="true" outlineLevel="0" collapsed="false">
      <c r="A9" s="24" t="n">
        <v>4</v>
      </c>
      <c r="B9" s="53" t="n">
        <f aca="false">1+MIN(0.5,$A9*0.02)+0.01*MAX(MIN($A9,55)-25,0)+0.004*MAX(0,$A9-55)</f>
        <v>1.08</v>
      </c>
      <c r="C9" s="54" t="n">
        <f aca="false">IF($A9&gt;=12,1,0)+IF($A9&gt;=18,1,0)+IF($A9&gt;18,INT(($A9-18)/5),0)</f>
        <v>0</v>
      </c>
      <c r="D9" s="54" t="n">
        <f aca="false">IF($A9&gt;=26,1,0)+IF($A9&gt;=38,1,0)+IF($A9&gt;38,INT(($A9-38)/12),0)</f>
        <v>0</v>
      </c>
      <c r="E9" s="54" t="n">
        <f aca="false">IF($A9&gt;=25,1,0)+IF($A9&gt;=50,1,0)+MAX(0,INT(($A9-50)/25))</f>
        <v>0</v>
      </c>
      <c r="F9" s="54" t="n">
        <f aca="false">IF($A9&gt;=60,1,0)+MAX(0,INT(($A9-60)/30))</f>
        <v>0</v>
      </c>
      <c r="G9" s="55" t="n">
        <f aca="false">IF($A9&lt;=18,MAX(0.18,0.9-$A9*0.04),0.06+0.12*EXP(-($A9-18)/25))</f>
        <v>0.74</v>
      </c>
      <c r="H9" s="54" t="n">
        <f aca="false">IF($A9&lt;36,1,IF($A9&lt;60,2,3))</f>
        <v>1</v>
      </c>
      <c r="I9" s="56" t="n">
        <f aca="false">IF($A9&lt;6,0,0.14+0.55*(1-EXP(-($A9-6)/22)))</f>
        <v>0</v>
      </c>
      <c r="J9" s="56" t="n">
        <f aca="false">IF($A9&lt;18,0,0.35*(1-EXP(-($A9-17)/30)))</f>
        <v>0</v>
      </c>
      <c r="K9" s="53" t="n">
        <f aca="false">IF($A9&lt;=15,1,1+(1-EXP(-($A9-15)/15)))</f>
        <v>1</v>
      </c>
      <c r="L9" s="54" t="n">
        <f aca="false">IF($A9&lt;14,0,MIN(8,1+INT(($A9-14)/9)))</f>
        <v>0</v>
      </c>
      <c r="M9" s="54" t="n">
        <f aca="false">IF($A9&lt;16,0,IF($A9&lt;40,1,2))</f>
        <v>0</v>
      </c>
      <c r="N9" s="54" t="n">
        <f aca="false">IF($A9&lt;20,0,MIN(4,1+INT(($A9-20)/12)))</f>
        <v>0</v>
      </c>
      <c r="O9" s="54" t="n">
        <f aca="false">IF($A9&lt;22,0,MIN(3,1+INT(($A9-22)/15)))</f>
        <v>0</v>
      </c>
      <c r="P9" s="54" t="n">
        <f aca="false">IF($A9&lt;28,0,IF($A9&lt;50,1,2))</f>
        <v>0</v>
      </c>
      <c r="Q9" s="54" t="n">
        <f aca="false">1+IF($A9&gt;=34,1,0)+IF($A9&gt;=60,1,0)+MAX(0,INT(($A9-60)/30))</f>
        <v>1</v>
      </c>
      <c r="R9" s="54" t="n">
        <f aca="false">40+2*MAX(0,$A9-10)</f>
        <v>40</v>
      </c>
      <c r="S9" s="54" t="n">
        <f aca="false">60+2*MAX(0,$A9-10)</f>
        <v>60</v>
      </c>
      <c r="T9" s="54" t="n">
        <f aca="false">40+5.5*$A9</f>
        <v>62</v>
      </c>
    </row>
    <row r="10" customFormat="false" ht="15" hidden="false" customHeight="true" outlineLevel="0" collapsed="false">
      <c r="A10" s="16" t="n">
        <v>5</v>
      </c>
      <c r="B10" s="49" t="n">
        <f aca="false">1+MIN(0.5,$A10*0.02)+0.01*MAX(MIN($A10,55)-25,0)+0.004*MAX(0,$A10-55)</f>
        <v>1.1</v>
      </c>
      <c r="C10" s="50" t="n">
        <f aca="false">IF($A10&gt;=12,1,0)+IF($A10&gt;=18,1,0)+IF($A10&gt;18,INT(($A10-18)/5),0)</f>
        <v>0</v>
      </c>
      <c r="D10" s="50" t="n">
        <f aca="false">IF($A10&gt;=26,1,0)+IF($A10&gt;=38,1,0)+IF($A10&gt;38,INT(($A10-38)/12),0)</f>
        <v>0</v>
      </c>
      <c r="E10" s="50" t="n">
        <f aca="false">IF($A10&gt;=25,1,0)+IF($A10&gt;=50,1,0)+MAX(0,INT(($A10-50)/25))</f>
        <v>0</v>
      </c>
      <c r="F10" s="50" t="n">
        <f aca="false">IF($A10&gt;=60,1,0)+MAX(0,INT(($A10-60)/30))</f>
        <v>0</v>
      </c>
      <c r="G10" s="51" t="n">
        <f aca="false">IF($A10&lt;=18,MAX(0.18,0.9-$A10*0.04),0.06+0.12*EXP(-($A10-18)/25))</f>
        <v>0.7</v>
      </c>
      <c r="H10" s="50" t="n">
        <f aca="false">IF($A10&lt;36,1,IF($A10&lt;60,2,3))</f>
        <v>1</v>
      </c>
      <c r="I10" s="52" t="n">
        <f aca="false">IF($A10&lt;6,0,0.14+0.55*(1-EXP(-($A10-6)/22)))</f>
        <v>0</v>
      </c>
      <c r="J10" s="52" t="n">
        <f aca="false">IF($A10&lt;18,0,0.35*(1-EXP(-($A10-17)/30)))</f>
        <v>0</v>
      </c>
      <c r="K10" s="49" t="n">
        <f aca="false">IF($A10&lt;=15,1,1+(1-EXP(-($A10-15)/15)))</f>
        <v>1</v>
      </c>
      <c r="L10" s="50" t="n">
        <f aca="false">IF($A10&lt;14,0,MIN(8,1+INT(($A10-14)/9)))</f>
        <v>0</v>
      </c>
      <c r="M10" s="50" t="n">
        <f aca="false">IF($A10&lt;16,0,IF($A10&lt;40,1,2))</f>
        <v>0</v>
      </c>
      <c r="N10" s="50" t="n">
        <f aca="false">IF($A10&lt;20,0,MIN(4,1+INT(($A10-20)/12)))</f>
        <v>0</v>
      </c>
      <c r="O10" s="50" t="n">
        <f aca="false">IF($A10&lt;22,0,MIN(3,1+INT(($A10-22)/15)))</f>
        <v>0</v>
      </c>
      <c r="P10" s="50" t="n">
        <f aca="false">IF($A10&lt;28,0,IF($A10&lt;50,1,2))</f>
        <v>0</v>
      </c>
      <c r="Q10" s="50" t="n">
        <f aca="false">1+IF($A10&gt;=34,1,0)+IF($A10&gt;=60,1,0)+MAX(0,INT(($A10-60)/30))</f>
        <v>1</v>
      </c>
      <c r="R10" s="50" t="n">
        <f aca="false">40+2*MAX(0,$A10-10)</f>
        <v>40</v>
      </c>
      <c r="S10" s="50" t="n">
        <f aca="false">60+2*MAX(0,$A10-10)</f>
        <v>60</v>
      </c>
      <c r="T10" s="50" t="n">
        <f aca="false">40+5.5*$A10</f>
        <v>67.5</v>
      </c>
    </row>
    <row r="11" customFormat="false" ht="15" hidden="false" customHeight="true" outlineLevel="0" collapsed="false">
      <c r="A11" s="24" t="n">
        <v>6</v>
      </c>
      <c r="B11" s="53" t="n">
        <f aca="false">1+MIN(0.5,$A11*0.02)+0.01*MAX(MIN($A11,55)-25,0)+0.004*MAX(0,$A11-55)</f>
        <v>1.12</v>
      </c>
      <c r="C11" s="54" t="n">
        <f aca="false">IF($A11&gt;=12,1,0)+IF($A11&gt;=18,1,0)+IF($A11&gt;18,INT(($A11-18)/5),0)</f>
        <v>0</v>
      </c>
      <c r="D11" s="54" t="n">
        <f aca="false">IF($A11&gt;=26,1,0)+IF($A11&gt;=38,1,0)+IF($A11&gt;38,INT(($A11-38)/12),0)</f>
        <v>0</v>
      </c>
      <c r="E11" s="54" t="n">
        <f aca="false">IF($A11&gt;=25,1,0)+IF($A11&gt;=50,1,0)+MAX(0,INT(($A11-50)/25))</f>
        <v>0</v>
      </c>
      <c r="F11" s="54" t="n">
        <f aca="false">IF($A11&gt;=60,1,0)+MAX(0,INT(($A11-60)/30))</f>
        <v>0</v>
      </c>
      <c r="G11" s="55" t="n">
        <f aca="false">IF($A11&lt;=18,MAX(0.18,0.9-$A11*0.04),0.06+0.12*EXP(-($A11-18)/25))</f>
        <v>0.66</v>
      </c>
      <c r="H11" s="54" t="n">
        <f aca="false">IF($A11&lt;36,1,IF($A11&lt;60,2,3))</f>
        <v>1</v>
      </c>
      <c r="I11" s="56" t="n">
        <f aca="false">IF($A11&lt;6,0,0.14+0.55*(1-EXP(-($A11-6)/22)))</f>
        <v>0.14</v>
      </c>
      <c r="J11" s="56" t="n">
        <f aca="false">IF($A11&lt;18,0,0.35*(1-EXP(-($A11-17)/30)))</f>
        <v>0</v>
      </c>
      <c r="K11" s="53" t="n">
        <f aca="false">IF($A11&lt;=15,1,1+(1-EXP(-($A11-15)/15)))</f>
        <v>1</v>
      </c>
      <c r="L11" s="54" t="n">
        <f aca="false">IF($A11&lt;14,0,MIN(8,1+INT(($A11-14)/9)))</f>
        <v>0</v>
      </c>
      <c r="M11" s="54" t="n">
        <f aca="false">IF($A11&lt;16,0,IF($A11&lt;40,1,2))</f>
        <v>0</v>
      </c>
      <c r="N11" s="54" t="n">
        <f aca="false">IF($A11&lt;20,0,MIN(4,1+INT(($A11-20)/12)))</f>
        <v>0</v>
      </c>
      <c r="O11" s="54" t="n">
        <f aca="false">IF($A11&lt;22,0,MIN(3,1+INT(($A11-22)/15)))</f>
        <v>0</v>
      </c>
      <c r="P11" s="54" t="n">
        <f aca="false">IF($A11&lt;28,0,IF($A11&lt;50,1,2))</f>
        <v>0</v>
      </c>
      <c r="Q11" s="54" t="n">
        <f aca="false">1+IF($A11&gt;=34,1,0)+IF($A11&gt;=60,1,0)+MAX(0,INT(($A11-60)/30))</f>
        <v>1</v>
      </c>
      <c r="R11" s="54" t="n">
        <f aca="false">40+2*MAX(0,$A11-10)</f>
        <v>40</v>
      </c>
      <c r="S11" s="54" t="n">
        <f aca="false">60+2*MAX(0,$A11-10)</f>
        <v>60</v>
      </c>
      <c r="T11" s="54" t="n">
        <f aca="false">40+5.5*$A11</f>
        <v>73</v>
      </c>
    </row>
    <row r="12" customFormat="false" ht="15" hidden="false" customHeight="true" outlineLevel="0" collapsed="false">
      <c r="A12" s="16" t="n">
        <v>7</v>
      </c>
      <c r="B12" s="49" t="n">
        <f aca="false">1+MIN(0.5,$A12*0.02)+0.01*MAX(MIN($A12,55)-25,0)+0.004*MAX(0,$A12-55)</f>
        <v>1.14</v>
      </c>
      <c r="C12" s="50" t="n">
        <f aca="false">IF($A12&gt;=12,1,0)+IF($A12&gt;=18,1,0)+IF($A12&gt;18,INT(($A12-18)/5),0)</f>
        <v>0</v>
      </c>
      <c r="D12" s="50" t="n">
        <f aca="false">IF($A12&gt;=26,1,0)+IF($A12&gt;=38,1,0)+IF($A12&gt;38,INT(($A12-38)/12),0)</f>
        <v>0</v>
      </c>
      <c r="E12" s="50" t="n">
        <f aca="false">IF($A12&gt;=25,1,0)+IF($A12&gt;=50,1,0)+MAX(0,INT(($A12-50)/25))</f>
        <v>0</v>
      </c>
      <c r="F12" s="50" t="n">
        <f aca="false">IF($A12&gt;=60,1,0)+MAX(0,INT(($A12-60)/30))</f>
        <v>0</v>
      </c>
      <c r="G12" s="51" t="n">
        <f aca="false">IF($A12&lt;=18,MAX(0.18,0.9-$A12*0.04),0.06+0.12*EXP(-($A12-18)/25))</f>
        <v>0.62</v>
      </c>
      <c r="H12" s="50" t="n">
        <f aca="false">IF($A12&lt;36,1,IF($A12&lt;60,2,3))</f>
        <v>1</v>
      </c>
      <c r="I12" s="52" t="n">
        <f aca="false">IF($A12&lt;6,0,0.14+0.55*(1-EXP(-($A12-6)/22)))</f>
        <v>0.164440330052444</v>
      </c>
      <c r="J12" s="52" t="n">
        <f aca="false">IF($A12&lt;18,0,0.35*(1-EXP(-($A12-17)/30)))</f>
        <v>0</v>
      </c>
      <c r="K12" s="49" t="n">
        <f aca="false">IF($A12&lt;=15,1,1+(1-EXP(-($A12-15)/15)))</f>
        <v>1</v>
      </c>
      <c r="L12" s="50" t="n">
        <f aca="false">IF($A12&lt;14,0,MIN(8,1+INT(($A12-14)/9)))</f>
        <v>0</v>
      </c>
      <c r="M12" s="50" t="n">
        <f aca="false">IF($A12&lt;16,0,IF($A12&lt;40,1,2))</f>
        <v>0</v>
      </c>
      <c r="N12" s="50" t="n">
        <f aca="false">IF($A12&lt;20,0,MIN(4,1+INT(($A12-20)/12)))</f>
        <v>0</v>
      </c>
      <c r="O12" s="50" t="n">
        <f aca="false">IF($A12&lt;22,0,MIN(3,1+INT(($A12-22)/15)))</f>
        <v>0</v>
      </c>
      <c r="P12" s="50" t="n">
        <f aca="false">IF($A12&lt;28,0,IF($A12&lt;50,1,2))</f>
        <v>0</v>
      </c>
      <c r="Q12" s="50" t="n">
        <f aca="false">1+IF($A12&gt;=34,1,0)+IF($A12&gt;=60,1,0)+MAX(0,INT(($A12-60)/30))</f>
        <v>1</v>
      </c>
      <c r="R12" s="50" t="n">
        <f aca="false">40+2*MAX(0,$A12-10)</f>
        <v>40</v>
      </c>
      <c r="S12" s="50" t="n">
        <f aca="false">60+2*MAX(0,$A12-10)</f>
        <v>60</v>
      </c>
      <c r="T12" s="50" t="n">
        <f aca="false">40+5.5*$A12</f>
        <v>78.5</v>
      </c>
    </row>
    <row r="13" customFormat="false" ht="15" hidden="false" customHeight="true" outlineLevel="0" collapsed="false">
      <c r="A13" s="24" t="n">
        <v>8</v>
      </c>
      <c r="B13" s="53" t="n">
        <f aca="false">1+MIN(0.5,$A13*0.02)+0.01*MAX(MIN($A13,55)-25,0)+0.004*MAX(0,$A13-55)</f>
        <v>1.16</v>
      </c>
      <c r="C13" s="54" t="n">
        <f aca="false">IF($A13&gt;=12,1,0)+IF($A13&gt;=18,1,0)+IF($A13&gt;18,INT(($A13-18)/5),0)</f>
        <v>0</v>
      </c>
      <c r="D13" s="54" t="n">
        <f aca="false">IF($A13&gt;=26,1,0)+IF($A13&gt;=38,1,0)+IF($A13&gt;38,INT(($A13-38)/12),0)</f>
        <v>0</v>
      </c>
      <c r="E13" s="54" t="n">
        <f aca="false">IF($A13&gt;=25,1,0)+IF($A13&gt;=50,1,0)+MAX(0,INT(($A13-50)/25))</f>
        <v>0</v>
      </c>
      <c r="F13" s="54" t="n">
        <f aca="false">IF($A13&gt;=60,1,0)+MAX(0,INT(($A13-60)/30))</f>
        <v>0</v>
      </c>
      <c r="G13" s="55" t="n">
        <f aca="false">IF($A13&lt;=18,MAX(0.18,0.9-$A13*0.04),0.06+0.12*EXP(-($A13-18)/25))</f>
        <v>0.58</v>
      </c>
      <c r="H13" s="54" t="n">
        <f aca="false">IF($A13&lt;36,1,IF($A13&lt;60,2,3))</f>
        <v>1</v>
      </c>
      <c r="I13" s="56" t="n">
        <f aca="false">IF($A13&lt;6,0,0.14+0.55*(1-EXP(-($A13-6)/22)))</f>
        <v>0.187794606044756</v>
      </c>
      <c r="J13" s="56" t="n">
        <f aca="false">IF($A13&lt;18,0,0.35*(1-EXP(-($A13-17)/30)))</f>
        <v>0</v>
      </c>
      <c r="K13" s="53" t="n">
        <f aca="false">IF($A13&lt;=15,1,1+(1-EXP(-($A13-15)/15)))</f>
        <v>1</v>
      </c>
      <c r="L13" s="54" t="n">
        <f aca="false">IF($A13&lt;14,0,MIN(8,1+INT(($A13-14)/9)))</f>
        <v>0</v>
      </c>
      <c r="M13" s="54" t="n">
        <f aca="false">IF($A13&lt;16,0,IF($A13&lt;40,1,2))</f>
        <v>0</v>
      </c>
      <c r="N13" s="54" t="n">
        <f aca="false">IF($A13&lt;20,0,MIN(4,1+INT(($A13-20)/12)))</f>
        <v>0</v>
      </c>
      <c r="O13" s="54" t="n">
        <f aca="false">IF($A13&lt;22,0,MIN(3,1+INT(($A13-22)/15)))</f>
        <v>0</v>
      </c>
      <c r="P13" s="54" t="n">
        <f aca="false">IF($A13&lt;28,0,IF($A13&lt;50,1,2))</f>
        <v>0</v>
      </c>
      <c r="Q13" s="54" t="n">
        <f aca="false">1+IF($A13&gt;=34,1,0)+IF($A13&gt;=60,1,0)+MAX(0,INT(($A13-60)/30))</f>
        <v>1</v>
      </c>
      <c r="R13" s="54" t="n">
        <f aca="false">40+2*MAX(0,$A13-10)</f>
        <v>40</v>
      </c>
      <c r="S13" s="54" t="n">
        <f aca="false">60+2*MAX(0,$A13-10)</f>
        <v>60</v>
      </c>
      <c r="T13" s="54" t="n">
        <f aca="false">40+5.5*$A13</f>
        <v>84</v>
      </c>
    </row>
    <row r="14" customFormat="false" ht="15" hidden="false" customHeight="true" outlineLevel="0" collapsed="false">
      <c r="A14" s="16" t="n">
        <v>9</v>
      </c>
      <c r="B14" s="49" t="n">
        <f aca="false">1+MIN(0.5,$A14*0.02)+0.01*MAX(MIN($A14,55)-25,0)+0.004*MAX(0,$A14-55)</f>
        <v>1.18</v>
      </c>
      <c r="C14" s="50" t="n">
        <f aca="false">IF($A14&gt;=12,1,0)+IF($A14&gt;=18,1,0)+IF($A14&gt;18,INT(($A14-18)/5),0)</f>
        <v>0</v>
      </c>
      <c r="D14" s="50" t="n">
        <f aca="false">IF($A14&gt;=26,1,0)+IF($A14&gt;=38,1,0)+IF($A14&gt;38,INT(($A14-38)/12),0)</f>
        <v>0</v>
      </c>
      <c r="E14" s="50" t="n">
        <f aca="false">IF($A14&gt;=25,1,0)+IF($A14&gt;=50,1,0)+MAX(0,INT(($A14-50)/25))</f>
        <v>0</v>
      </c>
      <c r="F14" s="50" t="n">
        <f aca="false">IF($A14&gt;=60,1,0)+MAX(0,INT(($A14-60)/30))</f>
        <v>0</v>
      </c>
      <c r="G14" s="51" t="n">
        <f aca="false">IF($A14&lt;=18,MAX(0.18,0.9-$A14*0.04),0.06+0.12*EXP(-($A14-18)/25))</f>
        <v>0.54</v>
      </c>
      <c r="H14" s="50" t="n">
        <f aca="false">IF($A14&lt;36,1,IF($A14&lt;60,2,3))</f>
        <v>1</v>
      </c>
      <c r="I14" s="52" t="n">
        <f aca="false">IF($A14&lt;6,0,0.14+0.55*(1-EXP(-($A14-6)/22)))</f>
        <v>0.210111088921817</v>
      </c>
      <c r="J14" s="52" t="n">
        <f aca="false">IF($A14&lt;18,0,0.35*(1-EXP(-($A14-17)/30)))</f>
        <v>0</v>
      </c>
      <c r="K14" s="49" t="n">
        <f aca="false">IF($A14&lt;=15,1,1+(1-EXP(-($A14-15)/15)))</f>
        <v>1</v>
      </c>
      <c r="L14" s="50" t="n">
        <f aca="false">IF($A14&lt;14,0,MIN(8,1+INT(($A14-14)/9)))</f>
        <v>0</v>
      </c>
      <c r="M14" s="50" t="n">
        <f aca="false">IF($A14&lt;16,0,IF($A14&lt;40,1,2))</f>
        <v>0</v>
      </c>
      <c r="N14" s="50" t="n">
        <f aca="false">IF($A14&lt;20,0,MIN(4,1+INT(($A14-20)/12)))</f>
        <v>0</v>
      </c>
      <c r="O14" s="50" t="n">
        <f aca="false">IF($A14&lt;22,0,MIN(3,1+INT(($A14-22)/15)))</f>
        <v>0</v>
      </c>
      <c r="P14" s="50" t="n">
        <f aca="false">IF($A14&lt;28,0,IF($A14&lt;50,1,2))</f>
        <v>0</v>
      </c>
      <c r="Q14" s="50" t="n">
        <f aca="false">1+IF($A14&gt;=34,1,0)+IF($A14&gt;=60,1,0)+MAX(0,INT(($A14-60)/30))</f>
        <v>1</v>
      </c>
      <c r="R14" s="50" t="n">
        <f aca="false">40+2*MAX(0,$A14-10)</f>
        <v>40</v>
      </c>
      <c r="S14" s="50" t="n">
        <f aca="false">60+2*MAX(0,$A14-10)</f>
        <v>60</v>
      </c>
      <c r="T14" s="50" t="n">
        <f aca="false">40+5.5*$A14</f>
        <v>89.5</v>
      </c>
    </row>
    <row r="15" customFormat="false" ht="15" hidden="false" customHeight="true" outlineLevel="0" collapsed="false">
      <c r="A15" s="24" t="n">
        <v>10</v>
      </c>
      <c r="B15" s="53" t="n">
        <f aca="false">1+MIN(0.5,$A15*0.02)+0.01*MAX(MIN($A15,55)-25,0)+0.004*MAX(0,$A15-55)</f>
        <v>1.2</v>
      </c>
      <c r="C15" s="54" t="n">
        <f aca="false">IF($A15&gt;=12,1,0)+IF($A15&gt;=18,1,0)+IF($A15&gt;18,INT(($A15-18)/5),0)</f>
        <v>0</v>
      </c>
      <c r="D15" s="54" t="n">
        <f aca="false">IF($A15&gt;=26,1,0)+IF($A15&gt;=38,1,0)+IF($A15&gt;38,INT(($A15-38)/12),0)</f>
        <v>0</v>
      </c>
      <c r="E15" s="54" t="n">
        <f aca="false">IF($A15&gt;=25,1,0)+IF($A15&gt;=50,1,0)+MAX(0,INT(($A15-50)/25))</f>
        <v>0</v>
      </c>
      <c r="F15" s="54" t="n">
        <f aca="false">IF($A15&gt;=60,1,0)+MAX(0,INT(($A15-60)/30))</f>
        <v>0</v>
      </c>
      <c r="G15" s="55" t="n">
        <f aca="false">IF($A15&lt;=18,MAX(0.18,0.9-$A15*0.04),0.06+0.12*EXP(-($A15-18)/25))</f>
        <v>0.5</v>
      </c>
      <c r="H15" s="54" t="n">
        <f aca="false">IF($A15&lt;36,1,IF($A15&lt;60,2,3))</f>
        <v>1</v>
      </c>
      <c r="I15" s="56" t="n">
        <f aca="false">IF($A15&lt;6,0,0.14+0.55*(1-EXP(-($A15-6)/22)))</f>
        <v>0.231435895058651</v>
      </c>
      <c r="J15" s="56" t="n">
        <f aca="false">IF($A15&lt;18,0,0.35*(1-EXP(-($A15-17)/30)))</f>
        <v>0</v>
      </c>
      <c r="K15" s="53" t="n">
        <f aca="false">IF($A15&lt;=15,1,1+(1-EXP(-($A15-15)/15)))</f>
        <v>1</v>
      </c>
      <c r="L15" s="54" t="n">
        <f aca="false">IF($A15&lt;14,0,MIN(8,1+INT(($A15-14)/9)))</f>
        <v>0</v>
      </c>
      <c r="M15" s="54" t="n">
        <f aca="false">IF($A15&lt;16,0,IF($A15&lt;40,1,2))</f>
        <v>0</v>
      </c>
      <c r="N15" s="54" t="n">
        <f aca="false">IF($A15&lt;20,0,MIN(4,1+INT(($A15-20)/12)))</f>
        <v>0</v>
      </c>
      <c r="O15" s="54" t="n">
        <f aca="false">IF($A15&lt;22,0,MIN(3,1+INT(($A15-22)/15)))</f>
        <v>0</v>
      </c>
      <c r="P15" s="54" t="n">
        <f aca="false">IF($A15&lt;28,0,IF($A15&lt;50,1,2))</f>
        <v>0</v>
      </c>
      <c r="Q15" s="54" t="n">
        <f aca="false">1+IF($A15&gt;=34,1,0)+IF($A15&gt;=60,1,0)+MAX(0,INT(($A15-60)/30))</f>
        <v>1</v>
      </c>
      <c r="R15" s="54" t="n">
        <f aca="false">40+2*MAX(0,$A15-10)</f>
        <v>40</v>
      </c>
      <c r="S15" s="54" t="n">
        <f aca="false">60+2*MAX(0,$A15-10)</f>
        <v>60</v>
      </c>
      <c r="T15" s="54" t="n">
        <f aca="false">40+5.5*$A15</f>
        <v>95</v>
      </c>
    </row>
    <row r="16" customFormat="false" ht="15" hidden="false" customHeight="true" outlineLevel="0" collapsed="false">
      <c r="A16" s="16" t="n">
        <v>11</v>
      </c>
      <c r="B16" s="49" t="n">
        <f aca="false">1+MIN(0.5,$A16*0.02)+0.01*MAX(MIN($A16,55)-25,0)+0.004*MAX(0,$A16-55)</f>
        <v>1.22</v>
      </c>
      <c r="C16" s="50" t="n">
        <f aca="false">IF($A16&gt;=12,1,0)+IF($A16&gt;=18,1,0)+IF($A16&gt;18,INT(($A16-18)/5),0)</f>
        <v>0</v>
      </c>
      <c r="D16" s="50" t="n">
        <f aca="false">IF($A16&gt;=26,1,0)+IF($A16&gt;=38,1,0)+IF($A16&gt;38,INT(($A16-38)/12),0)</f>
        <v>0</v>
      </c>
      <c r="E16" s="50" t="n">
        <f aca="false">IF($A16&gt;=25,1,0)+IF($A16&gt;=50,1,0)+MAX(0,INT(($A16-50)/25))</f>
        <v>0</v>
      </c>
      <c r="F16" s="50" t="n">
        <f aca="false">IF($A16&gt;=60,1,0)+MAX(0,INT(($A16-60)/30))</f>
        <v>0</v>
      </c>
      <c r="G16" s="51" t="n">
        <f aca="false">IF($A16&lt;=18,MAX(0.18,0.9-$A16*0.04),0.06+0.12*EXP(-($A16-18)/25))</f>
        <v>0.46</v>
      </c>
      <c r="H16" s="50" t="n">
        <f aca="false">IF($A16&lt;36,1,IF($A16&lt;60,2,3))</f>
        <v>1</v>
      </c>
      <c r="I16" s="52" t="n">
        <f aca="false">IF($A16&lt;6,0,0.14+0.55*(1-EXP(-($A16-6)/22)))</f>
        <v>0.251813091558596</v>
      </c>
      <c r="J16" s="52" t="n">
        <f aca="false">IF($A16&lt;18,0,0.35*(1-EXP(-($A16-17)/30)))</f>
        <v>0</v>
      </c>
      <c r="K16" s="49" t="n">
        <f aca="false">IF($A16&lt;=15,1,1+(1-EXP(-($A16-15)/15)))</f>
        <v>1</v>
      </c>
      <c r="L16" s="50" t="n">
        <f aca="false">IF($A16&lt;14,0,MIN(8,1+INT(($A16-14)/9)))</f>
        <v>0</v>
      </c>
      <c r="M16" s="50" t="n">
        <f aca="false">IF($A16&lt;16,0,IF($A16&lt;40,1,2))</f>
        <v>0</v>
      </c>
      <c r="N16" s="50" t="n">
        <f aca="false">IF($A16&lt;20,0,MIN(4,1+INT(($A16-20)/12)))</f>
        <v>0</v>
      </c>
      <c r="O16" s="50" t="n">
        <f aca="false">IF($A16&lt;22,0,MIN(3,1+INT(($A16-22)/15)))</f>
        <v>0</v>
      </c>
      <c r="P16" s="50" t="n">
        <f aca="false">IF($A16&lt;28,0,IF($A16&lt;50,1,2))</f>
        <v>0</v>
      </c>
      <c r="Q16" s="50" t="n">
        <f aca="false">1+IF($A16&gt;=34,1,0)+IF($A16&gt;=60,1,0)+MAX(0,INT(($A16-60)/30))</f>
        <v>1</v>
      </c>
      <c r="R16" s="50" t="n">
        <f aca="false">40+2*MAX(0,$A16-10)</f>
        <v>42</v>
      </c>
      <c r="S16" s="50" t="n">
        <f aca="false">60+2*MAX(0,$A16-10)</f>
        <v>62</v>
      </c>
      <c r="T16" s="50" t="n">
        <f aca="false">40+5.5*$A16</f>
        <v>100.5</v>
      </c>
    </row>
    <row r="17" customFormat="false" ht="15" hidden="false" customHeight="true" outlineLevel="0" collapsed="false">
      <c r="A17" s="24" t="n">
        <v>12</v>
      </c>
      <c r="B17" s="53" t="n">
        <f aca="false">1+MIN(0.5,$A17*0.02)+0.01*MAX(MIN($A17,55)-25,0)+0.004*MAX(0,$A17-55)</f>
        <v>1.24</v>
      </c>
      <c r="C17" s="54" t="n">
        <f aca="false">IF($A17&gt;=12,1,0)+IF($A17&gt;=18,1,0)+IF($A17&gt;18,INT(($A17-18)/5),0)</f>
        <v>1</v>
      </c>
      <c r="D17" s="54" t="n">
        <f aca="false">IF($A17&gt;=26,1,0)+IF($A17&gt;=38,1,0)+IF($A17&gt;38,INT(($A17-38)/12),0)</f>
        <v>0</v>
      </c>
      <c r="E17" s="54" t="n">
        <f aca="false">IF($A17&gt;=25,1,0)+IF($A17&gt;=50,1,0)+MAX(0,INT(($A17-50)/25))</f>
        <v>0</v>
      </c>
      <c r="F17" s="54" t="n">
        <f aca="false">IF($A17&gt;=60,1,0)+MAX(0,INT(($A17-60)/30))</f>
        <v>0</v>
      </c>
      <c r="G17" s="55" t="n">
        <f aca="false">IF($A17&lt;=18,MAX(0.18,0.9-$A17*0.04),0.06+0.12*EXP(-($A17-18)/25))</f>
        <v>0.42</v>
      </c>
      <c r="H17" s="54" t="n">
        <f aca="false">IF($A17&lt;36,1,IF($A17&lt;60,2,3))</f>
        <v>1</v>
      </c>
      <c r="I17" s="56" t="n">
        <f aca="false">IF($A17&lt;6,0,0.14+0.55*(1-EXP(-($A17-6)/22)))</f>
        <v>0.271284787316719</v>
      </c>
      <c r="J17" s="56" t="n">
        <f aca="false">IF($A17&lt;18,0,0.35*(1-EXP(-($A17-17)/30)))</f>
        <v>0</v>
      </c>
      <c r="K17" s="53" t="n">
        <f aca="false">IF($A17&lt;=15,1,1+(1-EXP(-($A17-15)/15)))</f>
        <v>1</v>
      </c>
      <c r="L17" s="54" t="n">
        <f aca="false">IF($A17&lt;14,0,MIN(8,1+INT(($A17-14)/9)))</f>
        <v>0</v>
      </c>
      <c r="M17" s="54" t="n">
        <f aca="false">IF($A17&lt;16,0,IF($A17&lt;40,1,2))</f>
        <v>0</v>
      </c>
      <c r="N17" s="54" t="n">
        <f aca="false">IF($A17&lt;20,0,MIN(4,1+INT(($A17-20)/12)))</f>
        <v>0</v>
      </c>
      <c r="O17" s="54" t="n">
        <f aca="false">IF($A17&lt;22,0,MIN(3,1+INT(($A17-22)/15)))</f>
        <v>0</v>
      </c>
      <c r="P17" s="54" t="n">
        <f aca="false">IF($A17&lt;28,0,IF($A17&lt;50,1,2))</f>
        <v>0</v>
      </c>
      <c r="Q17" s="54" t="n">
        <f aca="false">1+IF($A17&gt;=34,1,0)+IF($A17&gt;=60,1,0)+MAX(0,INT(($A17-60)/30))</f>
        <v>1</v>
      </c>
      <c r="R17" s="54" t="n">
        <f aca="false">40+2*MAX(0,$A17-10)</f>
        <v>44</v>
      </c>
      <c r="S17" s="54" t="n">
        <f aca="false">60+2*MAX(0,$A17-10)</f>
        <v>64</v>
      </c>
      <c r="T17" s="54" t="n">
        <f aca="false">40+5.5*$A17</f>
        <v>106</v>
      </c>
    </row>
    <row r="18" customFormat="false" ht="15" hidden="false" customHeight="true" outlineLevel="0" collapsed="false">
      <c r="A18" s="16" t="n">
        <v>13</v>
      </c>
      <c r="B18" s="49" t="n">
        <f aca="false">1+MIN(0.5,$A18*0.02)+0.01*MAX(MIN($A18,55)-25,0)+0.004*MAX(0,$A18-55)</f>
        <v>1.26</v>
      </c>
      <c r="C18" s="50" t="n">
        <f aca="false">IF($A18&gt;=12,1,0)+IF($A18&gt;=18,1,0)+IF($A18&gt;18,INT(($A18-18)/5),0)</f>
        <v>1</v>
      </c>
      <c r="D18" s="50" t="n">
        <f aca="false">IF($A18&gt;=26,1,0)+IF($A18&gt;=38,1,0)+IF($A18&gt;38,INT(($A18-38)/12),0)</f>
        <v>0</v>
      </c>
      <c r="E18" s="50" t="n">
        <f aca="false">IF($A18&gt;=25,1,0)+IF($A18&gt;=50,1,0)+MAX(0,INT(($A18-50)/25))</f>
        <v>0</v>
      </c>
      <c r="F18" s="50" t="n">
        <f aca="false">IF($A18&gt;=60,1,0)+MAX(0,INT(($A18-60)/30))</f>
        <v>0</v>
      </c>
      <c r="G18" s="51" t="n">
        <f aca="false">IF($A18&lt;=18,MAX(0.18,0.9-$A18*0.04),0.06+0.12*EXP(-($A18-18)/25))</f>
        <v>0.38</v>
      </c>
      <c r="H18" s="50" t="n">
        <f aca="false">IF($A18&lt;36,1,IF($A18&lt;60,2,3))</f>
        <v>1</v>
      </c>
      <c r="I18" s="52" t="n">
        <f aca="false">IF($A18&lt;6,0,0.14+0.55*(1-EXP(-($A18-6)/22)))</f>
        <v>0.289891220036644</v>
      </c>
      <c r="J18" s="52" t="n">
        <f aca="false">IF($A18&lt;18,0,0.35*(1-EXP(-($A18-17)/30)))</f>
        <v>0</v>
      </c>
      <c r="K18" s="49" t="n">
        <f aca="false">IF($A18&lt;=15,1,1+(1-EXP(-($A18-15)/15)))</f>
        <v>1</v>
      </c>
      <c r="L18" s="50" t="n">
        <f aca="false">IF($A18&lt;14,0,MIN(8,1+INT(($A18-14)/9)))</f>
        <v>0</v>
      </c>
      <c r="M18" s="50" t="n">
        <f aca="false">IF($A18&lt;16,0,IF($A18&lt;40,1,2))</f>
        <v>0</v>
      </c>
      <c r="N18" s="50" t="n">
        <f aca="false">IF($A18&lt;20,0,MIN(4,1+INT(($A18-20)/12)))</f>
        <v>0</v>
      </c>
      <c r="O18" s="50" t="n">
        <f aca="false">IF($A18&lt;22,0,MIN(3,1+INT(($A18-22)/15)))</f>
        <v>0</v>
      </c>
      <c r="P18" s="50" t="n">
        <f aca="false">IF($A18&lt;28,0,IF($A18&lt;50,1,2))</f>
        <v>0</v>
      </c>
      <c r="Q18" s="50" t="n">
        <f aca="false">1+IF($A18&gt;=34,1,0)+IF($A18&gt;=60,1,0)+MAX(0,INT(($A18-60)/30))</f>
        <v>1</v>
      </c>
      <c r="R18" s="50" t="n">
        <f aca="false">40+2*MAX(0,$A18-10)</f>
        <v>46</v>
      </c>
      <c r="S18" s="50" t="n">
        <f aca="false">60+2*MAX(0,$A18-10)</f>
        <v>66</v>
      </c>
      <c r="T18" s="50" t="n">
        <f aca="false">40+5.5*$A18</f>
        <v>111.5</v>
      </c>
    </row>
    <row r="19" customFormat="false" ht="15" hidden="false" customHeight="true" outlineLevel="0" collapsed="false">
      <c r="A19" s="24" t="n">
        <v>14</v>
      </c>
      <c r="B19" s="53" t="n">
        <f aca="false">1+MIN(0.5,$A19*0.02)+0.01*MAX(MIN($A19,55)-25,0)+0.004*MAX(0,$A19-55)</f>
        <v>1.28</v>
      </c>
      <c r="C19" s="54" t="n">
        <f aca="false">IF($A19&gt;=12,1,0)+IF($A19&gt;=18,1,0)+IF($A19&gt;18,INT(($A19-18)/5),0)</f>
        <v>1</v>
      </c>
      <c r="D19" s="54" t="n">
        <f aca="false">IF($A19&gt;=26,1,0)+IF($A19&gt;=38,1,0)+IF($A19&gt;38,INT(($A19-38)/12),0)</f>
        <v>0</v>
      </c>
      <c r="E19" s="54" t="n">
        <f aca="false">IF($A19&gt;=25,1,0)+IF($A19&gt;=50,1,0)+MAX(0,INT(($A19-50)/25))</f>
        <v>0</v>
      </c>
      <c r="F19" s="54" t="n">
        <f aca="false">IF($A19&gt;=60,1,0)+MAX(0,INT(($A19-60)/30))</f>
        <v>0</v>
      </c>
      <c r="G19" s="55" t="n">
        <f aca="false">IF($A19&lt;=18,MAX(0.18,0.9-$A19*0.04),0.06+0.12*EXP(-($A19-18)/25))</f>
        <v>0.34</v>
      </c>
      <c r="H19" s="54" t="n">
        <f aca="false">IF($A19&lt;36,1,IF($A19&lt;60,2,3))</f>
        <v>1</v>
      </c>
      <c r="I19" s="56" t="n">
        <f aca="false">IF($A19&lt;6,0,0.14+0.55*(1-EXP(-($A19-6)/22)))</f>
        <v>0.307670839380617</v>
      </c>
      <c r="J19" s="56" t="n">
        <f aca="false">IF($A19&lt;18,0,0.35*(1-EXP(-($A19-17)/30)))</f>
        <v>0</v>
      </c>
      <c r="K19" s="53" t="n">
        <f aca="false">IF($A19&lt;=15,1,1+(1-EXP(-($A19-15)/15)))</f>
        <v>1</v>
      </c>
      <c r="L19" s="54" t="n">
        <f aca="false">IF($A19&lt;14,0,MIN(8,1+INT(($A19-14)/9)))</f>
        <v>1</v>
      </c>
      <c r="M19" s="54" t="n">
        <f aca="false">IF($A19&lt;16,0,IF($A19&lt;40,1,2))</f>
        <v>0</v>
      </c>
      <c r="N19" s="54" t="n">
        <f aca="false">IF($A19&lt;20,0,MIN(4,1+INT(($A19-20)/12)))</f>
        <v>0</v>
      </c>
      <c r="O19" s="54" t="n">
        <f aca="false">IF($A19&lt;22,0,MIN(3,1+INT(($A19-22)/15)))</f>
        <v>0</v>
      </c>
      <c r="P19" s="54" t="n">
        <f aca="false">IF($A19&lt;28,0,IF($A19&lt;50,1,2))</f>
        <v>0</v>
      </c>
      <c r="Q19" s="54" t="n">
        <f aca="false">1+IF($A19&gt;=34,1,0)+IF($A19&gt;=60,1,0)+MAX(0,INT(($A19-60)/30))</f>
        <v>1</v>
      </c>
      <c r="R19" s="54" t="n">
        <f aca="false">40+2*MAX(0,$A19-10)</f>
        <v>48</v>
      </c>
      <c r="S19" s="54" t="n">
        <f aca="false">60+2*MAX(0,$A19-10)</f>
        <v>68</v>
      </c>
      <c r="T19" s="54" t="n">
        <f aca="false">40+5.5*$A19</f>
        <v>117</v>
      </c>
    </row>
    <row r="20" customFormat="false" ht="15" hidden="false" customHeight="true" outlineLevel="0" collapsed="false">
      <c r="A20" s="16" t="n">
        <v>15</v>
      </c>
      <c r="B20" s="49" t="n">
        <f aca="false">1+MIN(0.5,$A20*0.02)+0.01*MAX(MIN($A20,55)-25,0)+0.004*MAX(0,$A20-55)</f>
        <v>1.3</v>
      </c>
      <c r="C20" s="50" t="n">
        <f aca="false">IF($A20&gt;=12,1,0)+IF($A20&gt;=18,1,0)+IF($A20&gt;18,INT(($A20-18)/5),0)</f>
        <v>1</v>
      </c>
      <c r="D20" s="50" t="n">
        <f aca="false">IF($A20&gt;=26,1,0)+IF($A20&gt;=38,1,0)+IF($A20&gt;38,INT(($A20-38)/12),0)</f>
        <v>0</v>
      </c>
      <c r="E20" s="50" t="n">
        <f aca="false">IF($A20&gt;=25,1,0)+IF($A20&gt;=50,1,0)+MAX(0,INT(($A20-50)/25))</f>
        <v>0</v>
      </c>
      <c r="F20" s="50" t="n">
        <f aca="false">IF($A20&gt;=60,1,0)+MAX(0,INT(($A20-60)/30))</f>
        <v>0</v>
      </c>
      <c r="G20" s="51" t="n">
        <f aca="false">IF($A20&lt;=18,MAX(0.18,0.9-$A20*0.04),0.06+0.12*EXP(-($A20-18)/25))</f>
        <v>0.3</v>
      </c>
      <c r="H20" s="50" t="n">
        <f aca="false">IF($A20&lt;36,1,IF($A20&lt;60,2,3))</f>
        <v>1</v>
      </c>
      <c r="I20" s="52" t="n">
        <f aca="false">IF($A20&lt;6,0,0.14+0.55*(1-EXP(-($A20-6)/22)))</f>
        <v>0.324660386424638</v>
      </c>
      <c r="J20" s="52" t="n">
        <f aca="false">IF($A20&lt;18,0,0.35*(1-EXP(-($A20-17)/30)))</f>
        <v>0</v>
      </c>
      <c r="K20" s="49" t="n">
        <f aca="false">IF($A20&lt;=15,1,1+(1-EXP(-($A20-15)/15)))</f>
        <v>1</v>
      </c>
      <c r="L20" s="50" t="n">
        <f aca="false">IF($A20&lt;14,0,MIN(8,1+INT(($A20-14)/9)))</f>
        <v>1</v>
      </c>
      <c r="M20" s="50" t="n">
        <f aca="false">IF($A20&lt;16,0,IF($A20&lt;40,1,2))</f>
        <v>0</v>
      </c>
      <c r="N20" s="50" t="n">
        <f aca="false">IF($A20&lt;20,0,MIN(4,1+INT(($A20-20)/12)))</f>
        <v>0</v>
      </c>
      <c r="O20" s="50" t="n">
        <f aca="false">IF($A20&lt;22,0,MIN(3,1+INT(($A20-22)/15)))</f>
        <v>0</v>
      </c>
      <c r="P20" s="50" t="n">
        <f aca="false">IF($A20&lt;28,0,IF($A20&lt;50,1,2))</f>
        <v>0</v>
      </c>
      <c r="Q20" s="50" t="n">
        <f aca="false">1+IF($A20&gt;=34,1,0)+IF($A20&gt;=60,1,0)+MAX(0,INT(($A20-60)/30))</f>
        <v>1</v>
      </c>
      <c r="R20" s="50" t="n">
        <f aca="false">40+2*MAX(0,$A20-10)</f>
        <v>50</v>
      </c>
      <c r="S20" s="50" t="n">
        <f aca="false">60+2*MAX(0,$A20-10)</f>
        <v>70</v>
      </c>
      <c r="T20" s="50" t="n">
        <f aca="false">40+5.5*$A20</f>
        <v>122.5</v>
      </c>
    </row>
    <row r="21" customFormat="false" ht="15" hidden="false" customHeight="true" outlineLevel="0" collapsed="false">
      <c r="A21" s="24" t="n">
        <v>16</v>
      </c>
      <c r="B21" s="53" t="n">
        <f aca="false">1+MIN(0.5,$A21*0.02)+0.01*MAX(MIN($A21,55)-25,0)+0.004*MAX(0,$A21-55)</f>
        <v>1.32</v>
      </c>
      <c r="C21" s="54" t="n">
        <f aca="false">IF($A21&gt;=12,1,0)+IF($A21&gt;=18,1,0)+IF($A21&gt;18,INT(($A21-18)/5),0)</f>
        <v>1</v>
      </c>
      <c r="D21" s="54" t="n">
        <f aca="false">IF($A21&gt;=26,1,0)+IF($A21&gt;=38,1,0)+IF($A21&gt;38,INT(($A21-38)/12),0)</f>
        <v>0</v>
      </c>
      <c r="E21" s="54" t="n">
        <f aca="false">IF($A21&gt;=25,1,0)+IF($A21&gt;=50,1,0)+MAX(0,INT(($A21-50)/25))</f>
        <v>0</v>
      </c>
      <c r="F21" s="54" t="n">
        <f aca="false">IF($A21&gt;=60,1,0)+MAX(0,INT(($A21-60)/30))</f>
        <v>0</v>
      </c>
      <c r="G21" s="55" t="n">
        <f aca="false">IF($A21&lt;=18,MAX(0.18,0.9-$A21*0.04),0.06+0.12*EXP(-($A21-18)/25))</f>
        <v>0.26</v>
      </c>
      <c r="H21" s="54" t="n">
        <f aca="false">IF($A21&lt;36,1,IF($A21&lt;60,2,3))</f>
        <v>1</v>
      </c>
      <c r="I21" s="56" t="n">
        <f aca="false">IF($A21&lt;6,0,0.14+0.55*(1-EXP(-($A21-6)/22)))</f>
        <v>0.340894969582845</v>
      </c>
      <c r="J21" s="56" t="n">
        <f aca="false">IF($A21&lt;18,0,0.35*(1-EXP(-($A21-17)/30)))</f>
        <v>0</v>
      </c>
      <c r="K21" s="53" t="n">
        <f aca="false">IF($A21&lt;=15,1,1+(1-EXP(-($A21-15)/15)))</f>
        <v>1.06449301496838</v>
      </c>
      <c r="L21" s="54" t="n">
        <f aca="false">IF($A21&lt;14,0,MIN(8,1+INT(($A21-14)/9)))</f>
        <v>1</v>
      </c>
      <c r="M21" s="54" t="n">
        <f aca="false">IF($A21&lt;16,0,IF($A21&lt;40,1,2))</f>
        <v>1</v>
      </c>
      <c r="N21" s="54" t="n">
        <f aca="false">IF($A21&lt;20,0,MIN(4,1+INT(($A21-20)/12)))</f>
        <v>0</v>
      </c>
      <c r="O21" s="54" t="n">
        <f aca="false">IF($A21&lt;22,0,MIN(3,1+INT(($A21-22)/15)))</f>
        <v>0</v>
      </c>
      <c r="P21" s="54" t="n">
        <f aca="false">IF($A21&lt;28,0,IF($A21&lt;50,1,2))</f>
        <v>0</v>
      </c>
      <c r="Q21" s="54" t="n">
        <f aca="false">1+IF($A21&gt;=34,1,0)+IF($A21&gt;=60,1,0)+MAX(0,INT(($A21-60)/30))</f>
        <v>1</v>
      </c>
      <c r="R21" s="54" t="n">
        <f aca="false">40+2*MAX(0,$A21-10)</f>
        <v>52</v>
      </c>
      <c r="S21" s="54" t="n">
        <f aca="false">60+2*MAX(0,$A21-10)</f>
        <v>72</v>
      </c>
      <c r="T21" s="54" t="n">
        <f aca="false">40+5.5*$A21</f>
        <v>128</v>
      </c>
    </row>
    <row r="22" customFormat="false" ht="15" hidden="false" customHeight="true" outlineLevel="0" collapsed="false">
      <c r="A22" s="16" t="n">
        <v>17</v>
      </c>
      <c r="B22" s="49" t="n">
        <f aca="false">1+MIN(0.5,$A22*0.02)+0.01*MAX(MIN($A22,55)-25,0)+0.004*MAX(0,$A22-55)</f>
        <v>1.34</v>
      </c>
      <c r="C22" s="50" t="n">
        <f aca="false">IF($A22&gt;=12,1,0)+IF($A22&gt;=18,1,0)+IF($A22&gt;18,INT(($A22-18)/5),0)</f>
        <v>1</v>
      </c>
      <c r="D22" s="50" t="n">
        <f aca="false">IF($A22&gt;=26,1,0)+IF($A22&gt;=38,1,0)+IF($A22&gt;38,INT(($A22-38)/12),0)</f>
        <v>0</v>
      </c>
      <c r="E22" s="50" t="n">
        <f aca="false">IF($A22&gt;=25,1,0)+IF($A22&gt;=50,1,0)+MAX(0,INT(($A22-50)/25))</f>
        <v>0</v>
      </c>
      <c r="F22" s="50" t="n">
        <f aca="false">IF($A22&gt;=60,1,0)+MAX(0,INT(($A22-60)/30))</f>
        <v>0</v>
      </c>
      <c r="G22" s="51" t="n">
        <f aca="false">IF($A22&lt;=18,MAX(0.18,0.9-$A22*0.04),0.06+0.12*EXP(-($A22-18)/25))</f>
        <v>0.22</v>
      </c>
      <c r="H22" s="50" t="n">
        <f aca="false">IF($A22&lt;36,1,IF($A22&lt;60,2,3))</f>
        <v>1</v>
      </c>
      <c r="I22" s="52" t="n">
        <f aca="false">IF($A22&lt;6,0,0.14+0.55*(1-EXP(-($A22-6)/22)))</f>
        <v>0.356408137158052</v>
      </c>
      <c r="J22" s="52" t="n">
        <f aca="false">IF($A22&lt;18,0,0.35*(1-EXP(-($A22-17)/30)))</f>
        <v>0</v>
      </c>
      <c r="K22" s="49" t="n">
        <f aca="false">IF($A22&lt;=15,1,1+(1-EXP(-($A22-15)/15)))</f>
        <v>1.12482668095705</v>
      </c>
      <c r="L22" s="50" t="n">
        <f aca="false">IF($A22&lt;14,0,MIN(8,1+INT(($A22-14)/9)))</f>
        <v>1</v>
      </c>
      <c r="M22" s="50" t="n">
        <f aca="false">IF($A22&lt;16,0,IF($A22&lt;40,1,2))</f>
        <v>1</v>
      </c>
      <c r="N22" s="50" t="n">
        <f aca="false">IF($A22&lt;20,0,MIN(4,1+INT(($A22-20)/12)))</f>
        <v>0</v>
      </c>
      <c r="O22" s="50" t="n">
        <f aca="false">IF($A22&lt;22,0,MIN(3,1+INT(($A22-22)/15)))</f>
        <v>0</v>
      </c>
      <c r="P22" s="50" t="n">
        <f aca="false">IF($A22&lt;28,0,IF($A22&lt;50,1,2))</f>
        <v>0</v>
      </c>
      <c r="Q22" s="50" t="n">
        <f aca="false">1+IF($A22&gt;=34,1,0)+IF($A22&gt;=60,1,0)+MAX(0,INT(($A22-60)/30))</f>
        <v>1</v>
      </c>
      <c r="R22" s="50" t="n">
        <f aca="false">40+2*MAX(0,$A22-10)</f>
        <v>54</v>
      </c>
      <c r="S22" s="50" t="n">
        <f aca="false">60+2*MAX(0,$A22-10)</f>
        <v>74</v>
      </c>
      <c r="T22" s="50" t="n">
        <f aca="false">40+5.5*$A22</f>
        <v>133.5</v>
      </c>
    </row>
    <row r="23" customFormat="false" ht="15" hidden="false" customHeight="true" outlineLevel="0" collapsed="false">
      <c r="A23" s="24" t="n">
        <v>18</v>
      </c>
      <c r="B23" s="53" t="n">
        <f aca="false">1+MIN(0.5,$A23*0.02)+0.01*MAX(MIN($A23,55)-25,0)+0.004*MAX(0,$A23-55)</f>
        <v>1.36</v>
      </c>
      <c r="C23" s="54" t="n">
        <f aca="false">IF($A23&gt;=12,1,0)+IF($A23&gt;=18,1,0)+IF($A23&gt;18,INT(($A23-18)/5),0)</f>
        <v>2</v>
      </c>
      <c r="D23" s="54" t="n">
        <f aca="false">IF($A23&gt;=26,1,0)+IF($A23&gt;=38,1,0)+IF($A23&gt;38,INT(($A23-38)/12),0)</f>
        <v>0</v>
      </c>
      <c r="E23" s="54" t="n">
        <f aca="false">IF($A23&gt;=25,1,0)+IF($A23&gt;=50,1,0)+MAX(0,INT(($A23-50)/25))</f>
        <v>0</v>
      </c>
      <c r="F23" s="54" t="n">
        <f aca="false">IF($A23&gt;=60,1,0)+MAX(0,INT(($A23-60)/30))</f>
        <v>0</v>
      </c>
      <c r="G23" s="55" t="n">
        <f aca="false">IF($A23&lt;=18,MAX(0.18,0.9-$A23*0.04),0.06+0.12*EXP(-($A23-18)/25))</f>
        <v>0.18</v>
      </c>
      <c r="H23" s="54" t="n">
        <f aca="false">IF($A23&lt;36,1,IF($A23&lt;60,2,3))</f>
        <v>1</v>
      </c>
      <c r="I23" s="56" t="n">
        <f aca="false">IF($A23&lt;6,0,0.14+0.55*(1-EXP(-($A23-6)/22)))</f>
        <v>0.371231946668355</v>
      </c>
      <c r="J23" s="56" t="n">
        <f aca="false">IF($A23&lt;18,0,0.35*(1-EXP(-($A23-17)/30)))</f>
        <v>0.0114743648312979</v>
      </c>
      <c r="K23" s="53" t="n">
        <f aca="false">IF($A23&lt;=15,1,1+(1-EXP(-($A23-15)/15)))</f>
        <v>1.18126924692202</v>
      </c>
      <c r="L23" s="54" t="n">
        <f aca="false">IF($A23&lt;14,0,MIN(8,1+INT(($A23-14)/9)))</f>
        <v>1</v>
      </c>
      <c r="M23" s="54" t="n">
        <f aca="false">IF($A23&lt;16,0,IF($A23&lt;40,1,2))</f>
        <v>1</v>
      </c>
      <c r="N23" s="54" t="n">
        <f aca="false">IF($A23&lt;20,0,MIN(4,1+INT(($A23-20)/12)))</f>
        <v>0</v>
      </c>
      <c r="O23" s="54" t="n">
        <f aca="false">IF($A23&lt;22,0,MIN(3,1+INT(($A23-22)/15)))</f>
        <v>0</v>
      </c>
      <c r="P23" s="54" t="n">
        <f aca="false">IF($A23&lt;28,0,IF($A23&lt;50,1,2))</f>
        <v>0</v>
      </c>
      <c r="Q23" s="54" t="n">
        <f aca="false">1+IF($A23&gt;=34,1,0)+IF($A23&gt;=60,1,0)+MAX(0,INT(($A23-60)/30))</f>
        <v>1</v>
      </c>
      <c r="R23" s="54" t="n">
        <f aca="false">40+2*MAX(0,$A23-10)</f>
        <v>56</v>
      </c>
      <c r="S23" s="54" t="n">
        <f aca="false">60+2*MAX(0,$A23-10)</f>
        <v>76</v>
      </c>
      <c r="T23" s="54" t="n">
        <f aca="false">40+5.5*$A23</f>
        <v>139</v>
      </c>
    </row>
    <row r="24" customFormat="false" ht="15" hidden="false" customHeight="true" outlineLevel="0" collapsed="false">
      <c r="A24" s="16" t="n">
        <v>19</v>
      </c>
      <c r="B24" s="49" t="n">
        <f aca="false">1+MIN(0.5,$A24*0.02)+0.01*MAX(MIN($A24,55)-25,0)+0.004*MAX(0,$A24-55)</f>
        <v>1.38</v>
      </c>
      <c r="C24" s="50" t="n">
        <f aca="false">IF($A24&gt;=12,1,0)+IF($A24&gt;=18,1,0)+IF($A24&gt;18,INT(($A24-18)/5),0)</f>
        <v>2</v>
      </c>
      <c r="D24" s="50" t="n">
        <f aca="false">IF($A24&gt;=26,1,0)+IF($A24&gt;=38,1,0)+IF($A24&gt;38,INT(($A24-38)/12),0)</f>
        <v>0</v>
      </c>
      <c r="E24" s="50" t="n">
        <f aca="false">IF($A24&gt;=25,1,0)+IF($A24&gt;=50,1,0)+MAX(0,INT(($A24-50)/25))</f>
        <v>0</v>
      </c>
      <c r="F24" s="50" t="n">
        <f aca="false">IF($A24&gt;=60,1,0)+MAX(0,INT(($A24-60)/30))</f>
        <v>0</v>
      </c>
      <c r="G24" s="51" t="n">
        <f aca="false">IF($A24&lt;=18,MAX(0.18,0.9-$A24*0.04),0.06+0.12*EXP(-($A24-18)/25))</f>
        <v>0.175294732698279</v>
      </c>
      <c r="H24" s="50" t="n">
        <f aca="false">IF($A24&lt;36,1,IF($A24&lt;60,2,3))</f>
        <v>1</v>
      </c>
      <c r="I24" s="52" t="n">
        <f aca="false">IF($A24&lt;6,0,0.14+0.55*(1-EXP(-($A24-6)/22)))</f>
        <v>0.385397031093083</v>
      </c>
      <c r="J24" s="52" t="n">
        <f aca="false">IF($A24&lt;18,0,0.35*(1-EXP(-($A24-17)/30)))</f>
        <v>0.0225725552389338</v>
      </c>
      <c r="K24" s="49" t="n">
        <f aca="false">IF($A24&lt;=15,1,1+(1-EXP(-($A24-15)/15)))</f>
        <v>1.23407166163535</v>
      </c>
      <c r="L24" s="50" t="n">
        <f aca="false">IF($A24&lt;14,0,MIN(8,1+INT(($A24-14)/9)))</f>
        <v>1</v>
      </c>
      <c r="M24" s="50" t="n">
        <f aca="false">IF($A24&lt;16,0,IF($A24&lt;40,1,2))</f>
        <v>1</v>
      </c>
      <c r="N24" s="50" t="n">
        <f aca="false">IF($A24&lt;20,0,MIN(4,1+INT(($A24-20)/12)))</f>
        <v>0</v>
      </c>
      <c r="O24" s="50" t="n">
        <f aca="false">IF($A24&lt;22,0,MIN(3,1+INT(($A24-22)/15)))</f>
        <v>0</v>
      </c>
      <c r="P24" s="50" t="n">
        <f aca="false">IF($A24&lt;28,0,IF($A24&lt;50,1,2))</f>
        <v>0</v>
      </c>
      <c r="Q24" s="50" t="n">
        <f aca="false">1+IF($A24&gt;=34,1,0)+IF($A24&gt;=60,1,0)+MAX(0,INT(($A24-60)/30))</f>
        <v>1</v>
      </c>
      <c r="R24" s="50" t="n">
        <f aca="false">40+2*MAX(0,$A24-10)</f>
        <v>58</v>
      </c>
      <c r="S24" s="50" t="n">
        <f aca="false">60+2*MAX(0,$A24-10)</f>
        <v>78</v>
      </c>
      <c r="T24" s="50" t="n">
        <f aca="false">40+5.5*$A24</f>
        <v>144.5</v>
      </c>
    </row>
    <row r="25" customFormat="false" ht="15" hidden="false" customHeight="true" outlineLevel="0" collapsed="false">
      <c r="A25" s="24" t="n">
        <v>20</v>
      </c>
      <c r="B25" s="53" t="n">
        <f aca="false">1+MIN(0.5,$A25*0.02)+0.01*MAX(MIN($A25,55)-25,0)+0.004*MAX(0,$A25-55)</f>
        <v>1.4</v>
      </c>
      <c r="C25" s="54" t="n">
        <f aca="false">IF($A25&gt;=12,1,0)+IF($A25&gt;=18,1,0)+IF($A25&gt;18,INT(($A25-18)/5),0)</f>
        <v>2</v>
      </c>
      <c r="D25" s="54" t="n">
        <f aca="false">IF($A25&gt;=26,1,0)+IF($A25&gt;=38,1,0)+IF($A25&gt;38,INT(($A25-38)/12),0)</f>
        <v>0</v>
      </c>
      <c r="E25" s="54" t="n">
        <f aca="false">IF($A25&gt;=25,1,0)+IF($A25&gt;=50,1,0)+MAX(0,INT(($A25-50)/25))</f>
        <v>0</v>
      </c>
      <c r="F25" s="54" t="n">
        <f aca="false">IF($A25&gt;=60,1,0)+MAX(0,INT(($A25-60)/30))</f>
        <v>0</v>
      </c>
      <c r="G25" s="55" t="n">
        <f aca="false">IF($A25&lt;=18,MAX(0.18,0.9-$A25*0.04),0.06+0.12*EXP(-($A25-18)/25))</f>
        <v>0.170773961566396</v>
      </c>
      <c r="H25" s="54" t="n">
        <f aca="false">IF($A25&lt;36,1,IF($A25&lt;60,2,3))</f>
        <v>1</v>
      </c>
      <c r="I25" s="56" t="n">
        <f aca="false">IF($A25&lt;6,0,0.14+0.55*(1-EXP(-($A25-6)/22)))</f>
        <v>0.398932662174972</v>
      </c>
      <c r="J25" s="56" t="n">
        <f aca="false">IF($A25&lt;18,0,0.35*(1-EXP(-($A25-17)/30)))</f>
        <v>0.0333069036874142</v>
      </c>
      <c r="K25" s="53" t="n">
        <f aca="false">IF($A25&lt;=15,1,1+(1-EXP(-($A25-15)/15)))</f>
        <v>1.28346868942621</v>
      </c>
      <c r="L25" s="54" t="n">
        <f aca="false">IF($A25&lt;14,0,MIN(8,1+INT(($A25-14)/9)))</f>
        <v>1</v>
      </c>
      <c r="M25" s="54" t="n">
        <f aca="false">IF($A25&lt;16,0,IF($A25&lt;40,1,2))</f>
        <v>1</v>
      </c>
      <c r="N25" s="54" t="n">
        <f aca="false">IF($A25&lt;20,0,MIN(4,1+INT(($A25-20)/12)))</f>
        <v>1</v>
      </c>
      <c r="O25" s="54" t="n">
        <f aca="false">IF($A25&lt;22,0,MIN(3,1+INT(($A25-22)/15)))</f>
        <v>0</v>
      </c>
      <c r="P25" s="54" t="n">
        <f aca="false">IF($A25&lt;28,0,IF($A25&lt;50,1,2))</f>
        <v>0</v>
      </c>
      <c r="Q25" s="54" t="n">
        <f aca="false">1+IF($A25&gt;=34,1,0)+IF($A25&gt;=60,1,0)+MAX(0,INT(($A25-60)/30))</f>
        <v>1</v>
      </c>
      <c r="R25" s="54" t="n">
        <f aca="false">40+2*MAX(0,$A25-10)</f>
        <v>60</v>
      </c>
      <c r="S25" s="54" t="n">
        <f aca="false">60+2*MAX(0,$A25-10)</f>
        <v>80</v>
      </c>
      <c r="T25" s="54" t="n">
        <f aca="false">40+5.5*$A25</f>
        <v>150</v>
      </c>
    </row>
    <row r="26" customFormat="false" ht="15" hidden="false" customHeight="true" outlineLevel="0" collapsed="false">
      <c r="A26" s="16" t="n">
        <v>21</v>
      </c>
      <c r="B26" s="49" t="n">
        <f aca="false">1+MIN(0.5,$A26*0.02)+0.01*MAX(MIN($A26,55)-25,0)+0.004*MAX(0,$A26-55)</f>
        <v>1.42</v>
      </c>
      <c r="C26" s="50" t="n">
        <f aca="false">IF($A26&gt;=12,1,0)+IF($A26&gt;=18,1,0)+IF($A26&gt;18,INT(($A26-18)/5),0)</f>
        <v>2</v>
      </c>
      <c r="D26" s="50" t="n">
        <f aca="false">IF($A26&gt;=26,1,0)+IF($A26&gt;=38,1,0)+IF($A26&gt;38,INT(($A26-38)/12),0)</f>
        <v>0</v>
      </c>
      <c r="E26" s="50" t="n">
        <f aca="false">IF($A26&gt;=25,1,0)+IF($A26&gt;=50,1,0)+MAX(0,INT(($A26-50)/25))</f>
        <v>0</v>
      </c>
      <c r="F26" s="50" t="n">
        <f aca="false">IF($A26&gt;=60,1,0)+MAX(0,INT(($A26-60)/30))</f>
        <v>0</v>
      </c>
      <c r="G26" s="51" t="n">
        <f aca="false">IF($A26&lt;=18,MAX(0.18,0.9-$A26*0.04),0.06+0.12*EXP(-($A26-18)/25))</f>
        <v>0.166430452406059</v>
      </c>
      <c r="H26" s="50" t="n">
        <f aca="false">IF($A26&lt;36,1,IF($A26&lt;60,2,3))</f>
        <v>1</v>
      </c>
      <c r="I26" s="52" t="n">
        <f aca="false">IF($A26&lt;6,0,0.14+0.55*(1-EXP(-($A26-6)/22)))</f>
        <v>0.41186681090939</v>
      </c>
      <c r="J26" s="52" t="n">
        <f aca="false">IF($A26&lt;18,0,0.35*(1-EXP(-($A26-17)/30)))</f>
        <v>0.0436893383349684</v>
      </c>
      <c r="K26" s="49" t="n">
        <f aca="false">IF($A26&lt;=15,1,1+(1-EXP(-($A26-15)/15)))</f>
        <v>1.32967995396436</v>
      </c>
      <c r="L26" s="50" t="n">
        <f aca="false">IF($A26&lt;14,0,MIN(8,1+INT(($A26-14)/9)))</f>
        <v>1</v>
      </c>
      <c r="M26" s="50" t="n">
        <f aca="false">IF($A26&lt;16,0,IF($A26&lt;40,1,2))</f>
        <v>1</v>
      </c>
      <c r="N26" s="50" t="n">
        <f aca="false">IF($A26&lt;20,0,MIN(4,1+INT(($A26-20)/12)))</f>
        <v>1</v>
      </c>
      <c r="O26" s="50" t="n">
        <f aca="false">IF($A26&lt;22,0,MIN(3,1+INT(($A26-22)/15)))</f>
        <v>0</v>
      </c>
      <c r="P26" s="50" t="n">
        <f aca="false">IF($A26&lt;28,0,IF($A26&lt;50,1,2))</f>
        <v>0</v>
      </c>
      <c r="Q26" s="50" t="n">
        <f aca="false">1+IF($A26&gt;=34,1,0)+IF($A26&gt;=60,1,0)+MAX(0,INT(($A26-60)/30))</f>
        <v>1</v>
      </c>
      <c r="R26" s="50" t="n">
        <f aca="false">40+2*MAX(0,$A26-10)</f>
        <v>62</v>
      </c>
      <c r="S26" s="50" t="n">
        <f aca="false">60+2*MAX(0,$A26-10)</f>
        <v>82</v>
      </c>
      <c r="T26" s="50" t="n">
        <f aca="false">40+5.5*$A26</f>
        <v>155.5</v>
      </c>
    </row>
    <row r="27" customFormat="false" ht="15" hidden="false" customHeight="true" outlineLevel="0" collapsed="false">
      <c r="A27" s="24" t="n">
        <v>22</v>
      </c>
      <c r="B27" s="53" t="n">
        <f aca="false">1+MIN(0.5,$A27*0.02)+0.01*MAX(MIN($A27,55)-25,0)+0.004*MAX(0,$A27-55)</f>
        <v>1.44</v>
      </c>
      <c r="C27" s="54" t="n">
        <f aca="false">IF($A27&gt;=12,1,0)+IF($A27&gt;=18,1,0)+IF($A27&gt;18,INT(($A27-18)/5),0)</f>
        <v>2</v>
      </c>
      <c r="D27" s="54" t="n">
        <f aca="false">IF($A27&gt;=26,1,0)+IF($A27&gt;=38,1,0)+IF($A27&gt;38,INT(($A27-38)/12),0)</f>
        <v>0</v>
      </c>
      <c r="E27" s="54" t="n">
        <f aca="false">IF($A27&gt;=25,1,0)+IF($A27&gt;=50,1,0)+MAX(0,INT(($A27-50)/25))</f>
        <v>0</v>
      </c>
      <c r="F27" s="54" t="n">
        <f aca="false">IF($A27&gt;=60,1,0)+MAX(0,INT(($A27-60)/30))</f>
        <v>0</v>
      </c>
      <c r="G27" s="55" t="n">
        <f aca="false">IF($A27&lt;=18,MAX(0.18,0.9-$A27*0.04),0.06+0.12*EXP(-($A27-18)/25))</f>
        <v>0.162257254675945</v>
      </c>
      <c r="H27" s="54" t="n">
        <f aca="false">IF($A27&lt;36,1,IF($A27&lt;60,2,3))</f>
        <v>1</v>
      </c>
      <c r="I27" s="56" t="n">
        <f aca="false">IF($A27&lt;6,0,0.14+0.55*(1-EXP(-($A27-6)/22)))</f>
        <v>0.424226205345596</v>
      </c>
      <c r="J27" s="56" t="n">
        <f aca="false">IF($A27&lt;18,0,0.35*(1-EXP(-($A27-17)/30)))</f>
        <v>0.0537313962882851</v>
      </c>
      <c r="K27" s="53" t="n">
        <f aca="false">IF($A27&lt;=15,1,1+(1-EXP(-($A27-15)/15)))</f>
        <v>1.37291091472694</v>
      </c>
      <c r="L27" s="54" t="n">
        <f aca="false">IF($A27&lt;14,0,MIN(8,1+INT(($A27-14)/9)))</f>
        <v>1</v>
      </c>
      <c r="M27" s="54" t="n">
        <f aca="false">IF($A27&lt;16,0,IF($A27&lt;40,1,2))</f>
        <v>1</v>
      </c>
      <c r="N27" s="54" t="n">
        <f aca="false">IF($A27&lt;20,0,MIN(4,1+INT(($A27-20)/12)))</f>
        <v>1</v>
      </c>
      <c r="O27" s="54" t="n">
        <f aca="false">IF($A27&lt;22,0,MIN(3,1+INT(($A27-22)/15)))</f>
        <v>1</v>
      </c>
      <c r="P27" s="54" t="n">
        <f aca="false">IF($A27&lt;28,0,IF($A27&lt;50,1,2))</f>
        <v>0</v>
      </c>
      <c r="Q27" s="54" t="n">
        <f aca="false">1+IF($A27&gt;=34,1,0)+IF($A27&gt;=60,1,0)+MAX(0,INT(($A27-60)/30))</f>
        <v>1</v>
      </c>
      <c r="R27" s="54" t="n">
        <f aca="false">40+2*MAX(0,$A27-10)</f>
        <v>64</v>
      </c>
      <c r="S27" s="54" t="n">
        <f aca="false">60+2*MAX(0,$A27-10)</f>
        <v>84</v>
      </c>
      <c r="T27" s="54" t="n">
        <f aca="false">40+5.5*$A27</f>
        <v>161</v>
      </c>
    </row>
    <row r="28" customFormat="false" ht="15" hidden="false" customHeight="true" outlineLevel="0" collapsed="false">
      <c r="A28" s="16" t="n">
        <v>23</v>
      </c>
      <c r="B28" s="49" t="n">
        <f aca="false">1+MIN(0.5,$A28*0.02)+0.01*MAX(MIN($A28,55)-25,0)+0.004*MAX(0,$A28-55)</f>
        <v>1.46</v>
      </c>
      <c r="C28" s="50" t="n">
        <f aca="false">IF($A28&gt;=12,1,0)+IF($A28&gt;=18,1,0)+IF($A28&gt;18,INT(($A28-18)/5),0)</f>
        <v>3</v>
      </c>
      <c r="D28" s="50" t="n">
        <f aca="false">IF($A28&gt;=26,1,0)+IF($A28&gt;=38,1,0)+IF($A28&gt;38,INT(($A28-38)/12),0)</f>
        <v>0</v>
      </c>
      <c r="E28" s="50" t="n">
        <f aca="false">IF($A28&gt;=25,1,0)+IF($A28&gt;=50,1,0)+MAX(0,INT(($A28-50)/25))</f>
        <v>0</v>
      </c>
      <c r="F28" s="50" t="n">
        <f aca="false">IF($A28&gt;=60,1,0)+MAX(0,INT(($A28-60)/30))</f>
        <v>0</v>
      </c>
      <c r="G28" s="51" t="n">
        <f aca="false">IF($A28&lt;=18,MAX(0.18,0.9-$A28*0.04),0.06+0.12*EXP(-($A28-18)/25))</f>
        <v>0.158247690369358</v>
      </c>
      <c r="H28" s="50" t="n">
        <f aca="false">IF($A28&lt;36,1,IF($A28&lt;60,2,3))</f>
        <v>1</v>
      </c>
      <c r="I28" s="52" t="n">
        <f aca="false">IF($A28&lt;6,0,0.14+0.55*(1-EXP(-($A28-6)/22)))</f>
        <v>0.436036385819494</v>
      </c>
      <c r="J28" s="52" t="n">
        <f aca="false">IF($A28&lt;18,0,0.35*(1-EXP(-($A28-17)/30)))</f>
        <v>0.0634442364227064</v>
      </c>
      <c r="K28" s="49" t="n">
        <f aca="false">IF($A28&lt;=15,1,1+(1-EXP(-($A28-15)/15)))</f>
        <v>1.41335378048997</v>
      </c>
      <c r="L28" s="50" t="n">
        <f aca="false">IF($A28&lt;14,0,MIN(8,1+INT(($A28-14)/9)))</f>
        <v>2</v>
      </c>
      <c r="M28" s="50" t="n">
        <f aca="false">IF($A28&lt;16,0,IF($A28&lt;40,1,2))</f>
        <v>1</v>
      </c>
      <c r="N28" s="50" t="n">
        <f aca="false">IF($A28&lt;20,0,MIN(4,1+INT(($A28-20)/12)))</f>
        <v>1</v>
      </c>
      <c r="O28" s="50" t="n">
        <f aca="false">IF($A28&lt;22,0,MIN(3,1+INT(($A28-22)/15)))</f>
        <v>1</v>
      </c>
      <c r="P28" s="50" t="n">
        <f aca="false">IF($A28&lt;28,0,IF($A28&lt;50,1,2))</f>
        <v>0</v>
      </c>
      <c r="Q28" s="50" t="n">
        <f aca="false">1+IF($A28&gt;=34,1,0)+IF($A28&gt;=60,1,0)+MAX(0,INT(($A28-60)/30))</f>
        <v>1</v>
      </c>
      <c r="R28" s="50" t="n">
        <f aca="false">40+2*MAX(0,$A28-10)</f>
        <v>66</v>
      </c>
      <c r="S28" s="50" t="n">
        <f aca="false">60+2*MAX(0,$A28-10)</f>
        <v>86</v>
      </c>
      <c r="T28" s="50" t="n">
        <f aca="false">40+5.5*$A28</f>
        <v>166.5</v>
      </c>
    </row>
    <row r="29" customFormat="false" ht="15" hidden="false" customHeight="true" outlineLevel="0" collapsed="false">
      <c r="A29" s="24" t="n">
        <v>24</v>
      </c>
      <c r="B29" s="53" t="n">
        <f aca="false">1+MIN(0.5,$A29*0.02)+0.01*MAX(MIN($A29,55)-25,0)+0.004*MAX(0,$A29-55)</f>
        <v>1.48</v>
      </c>
      <c r="C29" s="54" t="n">
        <f aca="false">IF($A29&gt;=12,1,0)+IF($A29&gt;=18,1,0)+IF($A29&gt;18,INT(($A29-18)/5),0)</f>
        <v>3</v>
      </c>
      <c r="D29" s="54" t="n">
        <f aca="false">IF($A29&gt;=26,1,0)+IF($A29&gt;=38,1,0)+IF($A29&gt;38,INT(($A29-38)/12),0)</f>
        <v>0</v>
      </c>
      <c r="E29" s="54" t="n">
        <f aca="false">IF($A29&gt;=25,1,0)+IF($A29&gt;=50,1,0)+MAX(0,INT(($A29-50)/25))</f>
        <v>0</v>
      </c>
      <c r="F29" s="54" t="n">
        <f aca="false">IF($A29&gt;=60,1,0)+MAX(0,INT(($A29-60)/30))</f>
        <v>0</v>
      </c>
      <c r="G29" s="55" t="n">
        <f aca="false">IF($A29&lt;=18,MAX(0.18,0.9-$A29*0.04),0.06+0.12*EXP(-($A29-18)/25))</f>
        <v>0.154395343327986</v>
      </c>
      <c r="H29" s="54" t="n">
        <f aca="false">IF($A29&lt;36,1,IF($A29&lt;60,2,3))</f>
        <v>1</v>
      </c>
      <c r="I29" s="56" t="n">
        <f aca="false">IF($A29&lt;6,0,0.14+0.55*(1-EXP(-($A29-6)/22)))</f>
        <v>0.447321757732009</v>
      </c>
      <c r="J29" s="56" t="n">
        <f aca="false">IF($A29&lt;18,0,0.35*(1-EXP(-($A29-17)/30)))</f>
        <v>0.0728386517821264</v>
      </c>
      <c r="K29" s="53" t="n">
        <f aca="false">IF($A29&lt;=15,1,1+(1-EXP(-($A29-15)/15)))</f>
        <v>1.45118836390597</v>
      </c>
      <c r="L29" s="54" t="n">
        <f aca="false">IF($A29&lt;14,0,MIN(8,1+INT(($A29-14)/9)))</f>
        <v>2</v>
      </c>
      <c r="M29" s="54" t="n">
        <f aca="false">IF($A29&lt;16,0,IF($A29&lt;40,1,2))</f>
        <v>1</v>
      </c>
      <c r="N29" s="54" t="n">
        <f aca="false">IF($A29&lt;20,0,MIN(4,1+INT(($A29-20)/12)))</f>
        <v>1</v>
      </c>
      <c r="O29" s="54" t="n">
        <f aca="false">IF($A29&lt;22,0,MIN(3,1+INT(($A29-22)/15)))</f>
        <v>1</v>
      </c>
      <c r="P29" s="54" t="n">
        <f aca="false">IF($A29&lt;28,0,IF($A29&lt;50,1,2))</f>
        <v>0</v>
      </c>
      <c r="Q29" s="54" t="n">
        <f aca="false">1+IF($A29&gt;=34,1,0)+IF($A29&gt;=60,1,0)+MAX(0,INT(($A29-60)/30))</f>
        <v>1</v>
      </c>
      <c r="R29" s="54" t="n">
        <f aca="false">40+2*MAX(0,$A29-10)</f>
        <v>68</v>
      </c>
      <c r="S29" s="54" t="n">
        <f aca="false">60+2*MAX(0,$A29-10)</f>
        <v>88</v>
      </c>
      <c r="T29" s="54" t="n">
        <f aca="false">40+5.5*$A29</f>
        <v>172</v>
      </c>
    </row>
    <row r="30" customFormat="false" ht="15" hidden="false" customHeight="true" outlineLevel="0" collapsed="false">
      <c r="A30" s="16" t="n">
        <v>25</v>
      </c>
      <c r="B30" s="49" t="n">
        <f aca="false">1+MIN(0.5,$A30*0.02)+0.01*MAX(MIN($A30,55)-25,0)+0.004*MAX(0,$A30-55)</f>
        <v>1.5</v>
      </c>
      <c r="C30" s="50" t="n">
        <f aca="false">IF($A30&gt;=12,1,0)+IF($A30&gt;=18,1,0)+IF($A30&gt;18,INT(($A30-18)/5),0)</f>
        <v>3</v>
      </c>
      <c r="D30" s="50" t="n">
        <f aca="false">IF($A30&gt;=26,1,0)+IF($A30&gt;=38,1,0)+IF($A30&gt;38,INT(($A30-38)/12),0)</f>
        <v>0</v>
      </c>
      <c r="E30" s="50" t="n">
        <f aca="false">IF($A30&gt;=25,1,0)+IF($A30&gt;=50,1,0)+MAX(0,INT(($A30-50)/25))</f>
        <v>1</v>
      </c>
      <c r="F30" s="50" t="n">
        <f aca="false">IF($A30&gt;=60,1,0)+MAX(0,INT(($A30-60)/30))</f>
        <v>0</v>
      </c>
      <c r="G30" s="51" t="n">
        <f aca="false">IF($A30&lt;=18,MAX(0.18,0.9-$A30*0.04),0.06+0.12*EXP(-($A30-18)/25))</f>
        <v>0.150694048974687</v>
      </c>
      <c r="H30" s="50" t="n">
        <f aca="false">IF($A30&lt;36,1,IF($A30&lt;60,2,3))</f>
        <v>1</v>
      </c>
      <c r="I30" s="52" t="n">
        <f aca="false">IF($A30&lt;6,0,0.14+0.55*(1-EXP(-($A30-6)/22)))</f>
        <v>0.458105641982148</v>
      </c>
      <c r="J30" s="52" t="n">
        <f aca="false">IF($A30&lt;18,0,0.35*(1-EXP(-($A30-17)/30)))</f>
        <v>0.081925081572373</v>
      </c>
      <c r="K30" s="49" t="n">
        <f aca="false">IF($A30&lt;=15,1,1+(1-EXP(-($A30-15)/15)))</f>
        <v>1.48658288096741</v>
      </c>
      <c r="L30" s="50" t="n">
        <f aca="false">IF($A30&lt;14,0,MIN(8,1+INT(($A30-14)/9)))</f>
        <v>2</v>
      </c>
      <c r="M30" s="50" t="n">
        <f aca="false">IF($A30&lt;16,0,IF($A30&lt;40,1,2))</f>
        <v>1</v>
      </c>
      <c r="N30" s="50" t="n">
        <f aca="false">IF($A30&lt;20,0,MIN(4,1+INT(($A30-20)/12)))</f>
        <v>1</v>
      </c>
      <c r="O30" s="50" t="n">
        <f aca="false">IF($A30&lt;22,0,MIN(3,1+INT(($A30-22)/15)))</f>
        <v>1</v>
      </c>
      <c r="P30" s="50" t="n">
        <f aca="false">IF($A30&lt;28,0,IF($A30&lt;50,1,2))</f>
        <v>0</v>
      </c>
      <c r="Q30" s="50" t="n">
        <f aca="false">1+IF($A30&gt;=34,1,0)+IF($A30&gt;=60,1,0)+MAX(0,INT(($A30-60)/30))</f>
        <v>1</v>
      </c>
      <c r="R30" s="50" t="n">
        <f aca="false">40+2*MAX(0,$A30-10)</f>
        <v>70</v>
      </c>
      <c r="S30" s="50" t="n">
        <f aca="false">60+2*MAX(0,$A30-10)</f>
        <v>90</v>
      </c>
      <c r="T30" s="50" t="n">
        <f aca="false">40+5.5*$A30</f>
        <v>177.5</v>
      </c>
    </row>
    <row r="31" customFormat="false" ht="15" hidden="false" customHeight="true" outlineLevel="0" collapsed="false">
      <c r="A31" s="24" t="n">
        <v>26</v>
      </c>
      <c r="B31" s="53" t="n">
        <f aca="false">1+MIN(0.5,$A31*0.02)+0.01*MAX(MIN($A31,55)-25,0)+0.004*MAX(0,$A31-55)</f>
        <v>1.51</v>
      </c>
      <c r="C31" s="54" t="n">
        <f aca="false">IF($A31&gt;=12,1,0)+IF($A31&gt;=18,1,0)+IF($A31&gt;18,INT(($A31-18)/5),0)</f>
        <v>3</v>
      </c>
      <c r="D31" s="54" t="n">
        <f aca="false">IF($A31&gt;=26,1,0)+IF($A31&gt;=38,1,0)+IF($A31&gt;38,INT(($A31-38)/12),0)</f>
        <v>1</v>
      </c>
      <c r="E31" s="54" t="n">
        <f aca="false">IF($A31&gt;=25,1,0)+IF($A31&gt;=50,1,0)+MAX(0,INT(($A31-50)/25))</f>
        <v>1</v>
      </c>
      <c r="F31" s="54" t="n">
        <f aca="false">IF($A31&gt;=60,1,0)+MAX(0,INT(($A31-60)/30))</f>
        <v>0</v>
      </c>
      <c r="G31" s="55" t="n">
        <f aca="false">IF($A31&lt;=18,MAX(0.18,0.9-$A31*0.04),0.06+0.12*EXP(-($A31-18)/25))</f>
        <v>0.147137884448843</v>
      </c>
      <c r="H31" s="54" t="n">
        <f aca="false">IF($A31&lt;36,1,IF($A31&lt;60,2,3))</f>
        <v>1</v>
      </c>
      <c r="I31" s="56" t="n">
        <f aca="false">IF($A31&lt;6,0,0.14+0.55*(1-EXP(-($A31-6)/22)))</f>
        <v>0.468410323158977</v>
      </c>
      <c r="J31" s="56" t="n">
        <f aca="false">IF($A31&lt;18,0,0.35*(1-EXP(-($A31-17)/30)))</f>
        <v>0.0907136227613987</v>
      </c>
      <c r="K31" s="53" t="n">
        <f aca="false">IF($A31&lt;=15,1,1+(1-EXP(-($A31-15)/15)))</f>
        <v>1.5196946989102</v>
      </c>
      <c r="L31" s="54" t="n">
        <f aca="false">IF($A31&lt;14,0,MIN(8,1+INT(($A31-14)/9)))</f>
        <v>2</v>
      </c>
      <c r="M31" s="54" t="n">
        <f aca="false">IF($A31&lt;16,0,IF($A31&lt;40,1,2))</f>
        <v>1</v>
      </c>
      <c r="N31" s="54" t="n">
        <f aca="false">IF($A31&lt;20,0,MIN(4,1+INT(($A31-20)/12)))</f>
        <v>1</v>
      </c>
      <c r="O31" s="54" t="n">
        <f aca="false">IF($A31&lt;22,0,MIN(3,1+INT(($A31-22)/15)))</f>
        <v>1</v>
      </c>
      <c r="P31" s="54" t="n">
        <f aca="false">IF($A31&lt;28,0,IF($A31&lt;50,1,2))</f>
        <v>0</v>
      </c>
      <c r="Q31" s="54" t="n">
        <f aca="false">1+IF($A31&gt;=34,1,0)+IF($A31&gt;=60,1,0)+MAX(0,INT(($A31-60)/30))</f>
        <v>1</v>
      </c>
      <c r="R31" s="54" t="n">
        <f aca="false">40+2*MAX(0,$A31-10)</f>
        <v>72</v>
      </c>
      <c r="S31" s="54" t="n">
        <f aca="false">60+2*MAX(0,$A31-10)</f>
        <v>92</v>
      </c>
      <c r="T31" s="54" t="n">
        <f aca="false">40+5.5*$A31</f>
        <v>183</v>
      </c>
    </row>
    <row r="32" customFormat="false" ht="15" hidden="false" customHeight="true" outlineLevel="0" collapsed="false">
      <c r="A32" s="16" t="n">
        <v>27</v>
      </c>
      <c r="B32" s="49" t="n">
        <f aca="false">1+MIN(0.5,$A32*0.02)+0.01*MAX(MIN($A32,55)-25,0)+0.004*MAX(0,$A32-55)</f>
        <v>1.52</v>
      </c>
      <c r="C32" s="50" t="n">
        <f aca="false">IF($A32&gt;=12,1,0)+IF($A32&gt;=18,1,0)+IF($A32&gt;18,INT(($A32-18)/5),0)</f>
        <v>3</v>
      </c>
      <c r="D32" s="50" t="n">
        <f aca="false">IF($A32&gt;=26,1,0)+IF($A32&gt;=38,1,0)+IF($A32&gt;38,INT(($A32-38)/12),0)</f>
        <v>1</v>
      </c>
      <c r="E32" s="50" t="n">
        <f aca="false">IF($A32&gt;=25,1,0)+IF($A32&gt;=50,1,0)+MAX(0,INT(($A32-50)/25))</f>
        <v>1</v>
      </c>
      <c r="F32" s="50" t="n">
        <f aca="false">IF($A32&gt;=60,1,0)+MAX(0,INT(($A32-60)/30))</f>
        <v>0</v>
      </c>
      <c r="G32" s="51" t="n">
        <f aca="false">IF($A32&lt;=18,MAX(0.18,0.9-$A32*0.04),0.06+0.12*EXP(-($A32-18)/25))</f>
        <v>0.143721159128524</v>
      </c>
      <c r="H32" s="50" t="n">
        <f aca="false">IF($A32&lt;36,1,IF($A32&lt;60,2,3))</f>
        <v>1</v>
      </c>
      <c r="I32" s="52" t="n">
        <f aca="false">IF($A32&lt;6,0,0.14+0.55*(1-EXP(-($A32-6)/22)))</f>
        <v>0.478257095592084</v>
      </c>
      <c r="J32" s="52" t="n">
        <f aca="false">IF($A32&lt;18,0,0.35*(1-EXP(-($A32-17)/30)))</f>
        <v>0.0992140412991737</v>
      </c>
      <c r="K32" s="49" t="n">
        <f aca="false">IF($A32&lt;=15,1,1+(1-EXP(-($A32-15)/15)))</f>
        <v>1.55067103588278</v>
      </c>
      <c r="L32" s="50" t="n">
        <f aca="false">IF($A32&lt;14,0,MIN(8,1+INT(($A32-14)/9)))</f>
        <v>2</v>
      </c>
      <c r="M32" s="50" t="n">
        <f aca="false">IF($A32&lt;16,0,IF($A32&lt;40,1,2))</f>
        <v>1</v>
      </c>
      <c r="N32" s="50" t="n">
        <f aca="false">IF($A32&lt;20,0,MIN(4,1+INT(($A32-20)/12)))</f>
        <v>1</v>
      </c>
      <c r="O32" s="50" t="n">
        <f aca="false">IF($A32&lt;22,0,MIN(3,1+INT(($A32-22)/15)))</f>
        <v>1</v>
      </c>
      <c r="P32" s="50" t="n">
        <f aca="false">IF($A32&lt;28,0,IF($A32&lt;50,1,2))</f>
        <v>0</v>
      </c>
      <c r="Q32" s="50" t="n">
        <f aca="false">1+IF($A32&gt;=34,1,0)+IF($A32&gt;=60,1,0)+MAX(0,INT(($A32-60)/30))</f>
        <v>1</v>
      </c>
      <c r="R32" s="50" t="n">
        <f aca="false">40+2*MAX(0,$A32-10)</f>
        <v>74</v>
      </c>
      <c r="S32" s="50" t="n">
        <f aca="false">60+2*MAX(0,$A32-10)</f>
        <v>94</v>
      </c>
      <c r="T32" s="50" t="n">
        <f aca="false">40+5.5*$A32</f>
        <v>188.5</v>
      </c>
    </row>
    <row r="33" customFormat="false" ht="15" hidden="false" customHeight="true" outlineLevel="0" collapsed="false">
      <c r="A33" s="24" t="n">
        <v>28</v>
      </c>
      <c r="B33" s="53" t="n">
        <f aca="false">1+MIN(0.5,$A33*0.02)+0.01*MAX(MIN($A33,55)-25,0)+0.004*MAX(0,$A33-55)</f>
        <v>1.53</v>
      </c>
      <c r="C33" s="54" t="n">
        <f aca="false">IF($A33&gt;=12,1,0)+IF($A33&gt;=18,1,0)+IF($A33&gt;18,INT(($A33-18)/5),0)</f>
        <v>4</v>
      </c>
      <c r="D33" s="54" t="n">
        <f aca="false">IF($A33&gt;=26,1,0)+IF($A33&gt;=38,1,0)+IF($A33&gt;38,INT(($A33-38)/12),0)</f>
        <v>1</v>
      </c>
      <c r="E33" s="54" t="n">
        <f aca="false">IF($A33&gt;=25,1,0)+IF($A33&gt;=50,1,0)+MAX(0,INT(($A33-50)/25))</f>
        <v>1</v>
      </c>
      <c r="F33" s="54" t="n">
        <f aca="false">IF($A33&gt;=60,1,0)+MAX(0,INT(($A33-60)/30))</f>
        <v>0</v>
      </c>
      <c r="G33" s="55" t="n">
        <f aca="false">IF($A33&lt;=18,MAX(0.18,0.9-$A33*0.04),0.06+0.12*EXP(-($A33-18)/25))</f>
        <v>0.140438405524277</v>
      </c>
      <c r="H33" s="54" t="n">
        <f aca="false">IF($A33&lt;36,1,IF($A33&lt;60,2,3))</f>
        <v>1</v>
      </c>
      <c r="I33" s="56" t="n">
        <f aca="false">IF($A33&lt;6,0,0.14+0.55*(1-EXP(-($A33-6)/22)))</f>
        <v>0.487666307355707</v>
      </c>
      <c r="J33" s="56" t="n">
        <f aca="false">IF($A33&lt;18,0,0.35*(1-EXP(-($A33-17)/30)))</f>
        <v>0.107435782969745</v>
      </c>
      <c r="K33" s="53" t="n">
        <f aca="false">IF($A33&lt;=15,1,1+(1-EXP(-($A33-15)/15)))</f>
        <v>1.57964961549132</v>
      </c>
      <c r="L33" s="54" t="n">
        <f aca="false">IF($A33&lt;14,0,MIN(8,1+INT(($A33-14)/9)))</f>
        <v>2</v>
      </c>
      <c r="M33" s="54" t="n">
        <f aca="false">IF($A33&lt;16,0,IF($A33&lt;40,1,2))</f>
        <v>1</v>
      </c>
      <c r="N33" s="54" t="n">
        <f aca="false">IF($A33&lt;20,0,MIN(4,1+INT(($A33-20)/12)))</f>
        <v>1</v>
      </c>
      <c r="O33" s="54" t="n">
        <f aca="false">IF($A33&lt;22,0,MIN(3,1+INT(($A33-22)/15)))</f>
        <v>1</v>
      </c>
      <c r="P33" s="54" t="n">
        <f aca="false">IF($A33&lt;28,0,IF($A33&lt;50,1,2))</f>
        <v>1</v>
      </c>
      <c r="Q33" s="54" t="n">
        <f aca="false">1+IF($A33&gt;=34,1,0)+IF($A33&gt;=60,1,0)+MAX(0,INT(($A33-60)/30))</f>
        <v>1</v>
      </c>
      <c r="R33" s="54" t="n">
        <f aca="false">40+2*MAX(0,$A33-10)</f>
        <v>76</v>
      </c>
      <c r="S33" s="54" t="n">
        <f aca="false">60+2*MAX(0,$A33-10)</f>
        <v>96</v>
      </c>
      <c r="T33" s="54" t="n">
        <f aca="false">40+5.5*$A33</f>
        <v>194</v>
      </c>
    </row>
    <row r="34" customFormat="false" ht="15" hidden="false" customHeight="true" outlineLevel="0" collapsed="false">
      <c r="A34" s="16" t="n">
        <v>29</v>
      </c>
      <c r="B34" s="49" t="n">
        <f aca="false">1+MIN(0.5,$A34*0.02)+0.01*MAX(MIN($A34,55)-25,0)+0.004*MAX(0,$A34-55)</f>
        <v>1.54</v>
      </c>
      <c r="C34" s="50" t="n">
        <f aca="false">IF($A34&gt;=12,1,0)+IF($A34&gt;=18,1,0)+IF($A34&gt;18,INT(($A34-18)/5),0)</f>
        <v>4</v>
      </c>
      <c r="D34" s="50" t="n">
        <f aca="false">IF($A34&gt;=26,1,0)+IF($A34&gt;=38,1,0)+IF($A34&gt;38,INT(($A34-38)/12),0)</f>
        <v>1</v>
      </c>
      <c r="E34" s="50" t="n">
        <f aca="false">IF($A34&gt;=25,1,0)+IF($A34&gt;=50,1,0)+MAX(0,INT(($A34-50)/25))</f>
        <v>1</v>
      </c>
      <c r="F34" s="50" t="n">
        <f aca="false">IF($A34&gt;=60,1,0)+MAX(0,INT(($A34-60)/30))</f>
        <v>0</v>
      </c>
      <c r="G34" s="51" t="n">
        <f aca="false">IF($A34&lt;=18,MAX(0.18,0.9-$A34*0.04),0.06+0.12*EXP(-($A34-18)/25))</f>
        <v>0.137284370529977</v>
      </c>
      <c r="H34" s="50" t="n">
        <f aca="false">IF($A34&lt;36,1,IF($A34&lt;60,2,3))</f>
        <v>1</v>
      </c>
      <c r="I34" s="52" t="n">
        <f aca="false">IF($A34&lt;6,0,0.14+0.55*(1-EXP(-($A34-6)/22)))</f>
        <v>0.496657402317445</v>
      </c>
      <c r="J34" s="52" t="n">
        <f aca="false">IF($A34&lt;18,0,0.35*(1-EXP(-($A34-17)/30)))</f>
        <v>0.115387983887526</v>
      </c>
      <c r="K34" s="49" t="n">
        <f aca="false">IF($A34&lt;=15,1,1+(1-EXP(-($A34-15)/15)))</f>
        <v>1.6067592791314</v>
      </c>
      <c r="L34" s="50" t="n">
        <f aca="false">IF($A34&lt;14,0,MIN(8,1+INT(($A34-14)/9)))</f>
        <v>2</v>
      </c>
      <c r="M34" s="50" t="n">
        <f aca="false">IF($A34&lt;16,0,IF($A34&lt;40,1,2))</f>
        <v>1</v>
      </c>
      <c r="N34" s="50" t="n">
        <f aca="false">IF($A34&lt;20,0,MIN(4,1+INT(($A34-20)/12)))</f>
        <v>1</v>
      </c>
      <c r="O34" s="50" t="n">
        <f aca="false">IF($A34&lt;22,0,MIN(3,1+INT(($A34-22)/15)))</f>
        <v>1</v>
      </c>
      <c r="P34" s="50" t="n">
        <f aca="false">IF($A34&lt;28,0,IF($A34&lt;50,1,2))</f>
        <v>1</v>
      </c>
      <c r="Q34" s="50" t="n">
        <f aca="false">1+IF($A34&gt;=34,1,0)+IF($A34&gt;=60,1,0)+MAX(0,INT(($A34-60)/30))</f>
        <v>1</v>
      </c>
      <c r="R34" s="50" t="n">
        <f aca="false">40+2*MAX(0,$A34-10)</f>
        <v>78</v>
      </c>
      <c r="S34" s="50" t="n">
        <f aca="false">60+2*MAX(0,$A34-10)</f>
        <v>98</v>
      </c>
      <c r="T34" s="50" t="n">
        <f aca="false">40+5.5*$A34</f>
        <v>199.5</v>
      </c>
    </row>
    <row r="35" customFormat="false" ht="15" hidden="false" customHeight="true" outlineLevel="0" collapsed="false">
      <c r="A35" s="24" t="n">
        <v>30</v>
      </c>
      <c r="B35" s="53" t="n">
        <f aca="false">1+MIN(0.5,$A35*0.02)+0.01*MAX(MIN($A35,55)-25,0)+0.004*MAX(0,$A35-55)</f>
        <v>1.55</v>
      </c>
      <c r="C35" s="54" t="n">
        <f aca="false">IF($A35&gt;=12,1,0)+IF($A35&gt;=18,1,0)+IF($A35&gt;18,INT(($A35-18)/5),0)</f>
        <v>4</v>
      </c>
      <c r="D35" s="54" t="n">
        <f aca="false">IF($A35&gt;=26,1,0)+IF($A35&gt;=38,1,0)+IF($A35&gt;38,INT(($A35-38)/12),0)</f>
        <v>1</v>
      </c>
      <c r="E35" s="54" t="n">
        <f aca="false">IF($A35&gt;=25,1,0)+IF($A35&gt;=50,1,0)+MAX(0,INT(($A35-50)/25))</f>
        <v>1</v>
      </c>
      <c r="F35" s="54" t="n">
        <f aca="false">IF($A35&gt;=60,1,0)+MAX(0,INT(($A35-60)/30))</f>
        <v>0</v>
      </c>
      <c r="G35" s="55" t="n">
        <f aca="false">IF($A35&lt;=18,MAX(0.18,0.9-$A35*0.04),0.06+0.12*EXP(-($A35-18)/25))</f>
        <v>0.134254007016737</v>
      </c>
      <c r="H35" s="54" t="n">
        <f aca="false">IF($A35&lt;36,1,IF($A35&lt;60,2,3))</f>
        <v>1</v>
      </c>
      <c r="I35" s="56" t="n">
        <f aca="false">IF($A35&lt;6,0,0.14+0.55*(1-EXP(-($A35-6)/22)))</f>
        <v>0.505248960318461</v>
      </c>
      <c r="J35" s="56" t="n">
        <f aca="false">IF($A35&lt;18,0,0.35*(1-EXP(-($A35-17)/30)))</f>
        <v>0.123079480649472</v>
      </c>
      <c r="K35" s="53" t="n">
        <f aca="false">IF($A35&lt;=15,1,1+(1-EXP(-($A35-15)/15)))</f>
        <v>1.63212055882856</v>
      </c>
      <c r="L35" s="54" t="n">
        <f aca="false">IF($A35&lt;14,0,MIN(8,1+INT(($A35-14)/9)))</f>
        <v>2</v>
      </c>
      <c r="M35" s="54" t="n">
        <f aca="false">IF($A35&lt;16,0,IF($A35&lt;40,1,2))</f>
        <v>1</v>
      </c>
      <c r="N35" s="54" t="n">
        <f aca="false">IF($A35&lt;20,0,MIN(4,1+INT(($A35-20)/12)))</f>
        <v>1</v>
      </c>
      <c r="O35" s="54" t="n">
        <f aca="false">IF($A35&lt;22,0,MIN(3,1+INT(($A35-22)/15)))</f>
        <v>1</v>
      </c>
      <c r="P35" s="54" t="n">
        <f aca="false">IF($A35&lt;28,0,IF($A35&lt;50,1,2))</f>
        <v>1</v>
      </c>
      <c r="Q35" s="54" t="n">
        <f aca="false">1+IF($A35&gt;=34,1,0)+IF($A35&gt;=60,1,0)+MAX(0,INT(($A35-60)/30))</f>
        <v>1</v>
      </c>
      <c r="R35" s="54" t="n">
        <f aca="false">40+2*MAX(0,$A35-10)</f>
        <v>80</v>
      </c>
      <c r="S35" s="54" t="n">
        <f aca="false">60+2*MAX(0,$A35-10)</f>
        <v>100</v>
      </c>
      <c r="T35" s="54" t="n">
        <f aca="false">40+5.5*$A35</f>
        <v>205</v>
      </c>
    </row>
    <row r="36" customFormat="false" ht="15" hidden="false" customHeight="true" outlineLevel="0" collapsed="false">
      <c r="A36" s="16" t="n">
        <v>31</v>
      </c>
      <c r="B36" s="49" t="n">
        <f aca="false">1+MIN(0.5,$A36*0.02)+0.01*MAX(MIN($A36,55)-25,0)+0.004*MAX(0,$A36-55)</f>
        <v>1.56</v>
      </c>
      <c r="C36" s="50" t="n">
        <f aca="false">IF($A36&gt;=12,1,0)+IF($A36&gt;=18,1,0)+IF($A36&gt;18,INT(($A36-18)/5),0)</f>
        <v>4</v>
      </c>
      <c r="D36" s="50" t="n">
        <f aca="false">IF($A36&gt;=26,1,0)+IF($A36&gt;=38,1,0)+IF($A36&gt;38,INT(($A36-38)/12),0)</f>
        <v>1</v>
      </c>
      <c r="E36" s="50" t="n">
        <f aca="false">IF($A36&gt;=25,1,0)+IF($A36&gt;=50,1,0)+MAX(0,INT(($A36-50)/25))</f>
        <v>1</v>
      </c>
      <c r="F36" s="50" t="n">
        <f aca="false">IF($A36&gt;=60,1,0)+MAX(0,INT(($A36-60)/30))</f>
        <v>0</v>
      </c>
      <c r="G36" s="51" t="n">
        <f aca="false">IF($A36&lt;=18,MAX(0.18,0.9-$A36*0.04),0.06+0.12*EXP(-($A36-18)/25))</f>
        <v>0.131342465756423</v>
      </c>
      <c r="H36" s="50" t="n">
        <f aca="false">IF($A36&lt;36,1,IF($A36&lt;60,2,3))</f>
        <v>1</v>
      </c>
      <c r="I36" s="52" t="n">
        <f aca="false">IF($A36&lt;6,0,0.14+0.55*(1-EXP(-($A36-6)/22)))</f>
        <v>0.513458735568186</v>
      </c>
      <c r="J36" s="52" t="n">
        <f aca="false">IF($A36&lt;18,0,0.35*(1-EXP(-($A36-17)/30)))</f>
        <v>0.13051882015443</v>
      </c>
      <c r="K36" s="49" t="n">
        <f aca="false">IF($A36&lt;=15,1,1+(1-EXP(-($A36-15)/15)))</f>
        <v>1.65584621313459</v>
      </c>
      <c r="L36" s="50" t="n">
        <f aca="false">IF($A36&lt;14,0,MIN(8,1+INT(($A36-14)/9)))</f>
        <v>2</v>
      </c>
      <c r="M36" s="50" t="n">
        <f aca="false">IF($A36&lt;16,0,IF($A36&lt;40,1,2))</f>
        <v>1</v>
      </c>
      <c r="N36" s="50" t="n">
        <f aca="false">IF($A36&lt;20,0,MIN(4,1+INT(($A36-20)/12)))</f>
        <v>1</v>
      </c>
      <c r="O36" s="50" t="n">
        <f aca="false">IF($A36&lt;22,0,MIN(3,1+INT(($A36-22)/15)))</f>
        <v>1</v>
      </c>
      <c r="P36" s="50" t="n">
        <f aca="false">IF($A36&lt;28,0,IF($A36&lt;50,1,2))</f>
        <v>1</v>
      </c>
      <c r="Q36" s="50" t="n">
        <f aca="false">1+IF($A36&gt;=34,1,0)+IF($A36&gt;=60,1,0)+MAX(0,INT(($A36-60)/30))</f>
        <v>1</v>
      </c>
      <c r="R36" s="50" t="n">
        <f aca="false">40+2*MAX(0,$A36-10)</f>
        <v>82</v>
      </c>
      <c r="S36" s="50" t="n">
        <f aca="false">60+2*MAX(0,$A36-10)</f>
        <v>102</v>
      </c>
      <c r="T36" s="50" t="n">
        <f aca="false">40+5.5*$A36</f>
        <v>210.5</v>
      </c>
    </row>
    <row r="37" customFormat="false" ht="15" hidden="false" customHeight="true" outlineLevel="0" collapsed="false">
      <c r="A37" s="24" t="n">
        <v>32</v>
      </c>
      <c r="B37" s="53" t="n">
        <f aca="false">1+MIN(0.5,$A37*0.02)+0.01*MAX(MIN($A37,55)-25,0)+0.004*MAX(0,$A37-55)</f>
        <v>1.57</v>
      </c>
      <c r="C37" s="54" t="n">
        <f aca="false">IF($A37&gt;=12,1,0)+IF($A37&gt;=18,1,0)+IF($A37&gt;18,INT(($A37-18)/5),0)</f>
        <v>4</v>
      </c>
      <c r="D37" s="54" t="n">
        <f aca="false">IF($A37&gt;=26,1,0)+IF($A37&gt;=38,1,0)+IF($A37&gt;38,INT(($A37-38)/12),0)</f>
        <v>1</v>
      </c>
      <c r="E37" s="54" t="n">
        <f aca="false">IF($A37&gt;=25,1,0)+IF($A37&gt;=50,1,0)+MAX(0,INT(($A37-50)/25))</f>
        <v>1</v>
      </c>
      <c r="F37" s="54" t="n">
        <f aca="false">IF($A37&gt;=60,1,0)+MAX(0,INT(($A37-60)/30))</f>
        <v>0</v>
      </c>
      <c r="G37" s="55" t="n">
        <f aca="false">IF($A37&lt;=18,MAX(0.18,0.9-$A37*0.04),0.06+0.12*EXP(-($A37-18)/25))</f>
        <v>0.128545087661858</v>
      </c>
      <c r="H37" s="54" t="n">
        <f aca="false">IF($A37&lt;36,1,IF($A37&lt;60,2,3))</f>
        <v>1</v>
      </c>
      <c r="I37" s="56" t="n">
        <f aca="false">IF($A37&lt;6,0,0.14+0.55*(1-EXP(-($A37-6)/22)))</f>
        <v>0.521303693332894</v>
      </c>
      <c r="J37" s="56" t="n">
        <f aca="false">IF($A37&lt;18,0,0.35*(1-EXP(-($A37-17)/30)))</f>
        <v>0.137714269100578</v>
      </c>
      <c r="K37" s="53" t="n">
        <f aca="false">IF($A37&lt;=15,1,1+(1-EXP(-($A37-15)/15)))</f>
        <v>1.67804172846232</v>
      </c>
      <c r="L37" s="54" t="n">
        <f aca="false">IF($A37&lt;14,0,MIN(8,1+INT(($A37-14)/9)))</f>
        <v>3</v>
      </c>
      <c r="M37" s="54" t="n">
        <f aca="false">IF($A37&lt;16,0,IF($A37&lt;40,1,2))</f>
        <v>1</v>
      </c>
      <c r="N37" s="54" t="n">
        <f aca="false">IF($A37&lt;20,0,MIN(4,1+INT(($A37-20)/12)))</f>
        <v>2</v>
      </c>
      <c r="O37" s="54" t="n">
        <f aca="false">IF($A37&lt;22,0,MIN(3,1+INT(($A37-22)/15)))</f>
        <v>1</v>
      </c>
      <c r="P37" s="54" t="n">
        <f aca="false">IF($A37&lt;28,0,IF($A37&lt;50,1,2))</f>
        <v>1</v>
      </c>
      <c r="Q37" s="54" t="n">
        <f aca="false">1+IF($A37&gt;=34,1,0)+IF($A37&gt;=60,1,0)+MAX(0,INT(($A37-60)/30))</f>
        <v>1</v>
      </c>
      <c r="R37" s="54" t="n">
        <f aca="false">40+2*MAX(0,$A37-10)</f>
        <v>84</v>
      </c>
      <c r="S37" s="54" t="n">
        <f aca="false">60+2*MAX(0,$A37-10)</f>
        <v>104</v>
      </c>
      <c r="T37" s="54" t="n">
        <f aca="false">40+5.5*$A37</f>
        <v>216</v>
      </c>
    </row>
    <row r="38" customFormat="false" ht="15" hidden="false" customHeight="true" outlineLevel="0" collapsed="false">
      <c r="A38" s="16" t="n">
        <v>33</v>
      </c>
      <c r="B38" s="49" t="n">
        <f aca="false">1+MIN(0.5,$A38*0.02)+0.01*MAX(MIN($A38,55)-25,0)+0.004*MAX(0,$A38-55)</f>
        <v>1.58</v>
      </c>
      <c r="C38" s="50" t="n">
        <f aca="false">IF($A38&gt;=12,1,0)+IF($A38&gt;=18,1,0)+IF($A38&gt;18,INT(($A38-18)/5),0)</f>
        <v>5</v>
      </c>
      <c r="D38" s="50" t="n">
        <f aca="false">IF($A38&gt;=26,1,0)+IF($A38&gt;=38,1,0)+IF($A38&gt;38,INT(($A38-38)/12),0)</f>
        <v>1</v>
      </c>
      <c r="E38" s="50" t="n">
        <f aca="false">IF($A38&gt;=25,1,0)+IF($A38&gt;=50,1,0)+MAX(0,INT(($A38-50)/25))</f>
        <v>1</v>
      </c>
      <c r="F38" s="50" t="n">
        <f aca="false">IF($A38&gt;=60,1,0)+MAX(0,INT(($A38-60)/30))</f>
        <v>0</v>
      </c>
      <c r="G38" s="51" t="n">
        <f aca="false">IF($A38&lt;=18,MAX(0.18,0.9-$A38*0.04),0.06+0.12*EXP(-($A38-18)/25))</f>
        <v>0.125857396331283</v>
      </c>
      <c r="H38" s="50" t="n">
        <f aca="false">IF($A38&lt;36,1,IF($A38&lt;60,2,3))</f>
        <v>1</v>
      </c>
      <c r="I38" s="52" t="n">
        <f aca="false">IF($A38&lt;6,0,0.14+0.55*(1-EXP(-($A38-6)/22)))</f>
        <v>0.528800044993934</v>
      </c>
      <c r="J38" s="52" t="n">
        <f aca="false">IF($A38&lt;18,0,0.35*(1-EXP(-($A38-17)/30)))</f>
        <v>0.144673823171489</v>
      </c>
      <c r="K38" s="49" t="n">
        <f aca="false">IF($A38&lt;=15,1,1+(1-EXP(-($A38-15)/15)))</f>
        <v>1.6988057880878</v>
      </c>
      <c r="L38" s="50" t="n">
        <f aca="false">IF($A38&lt;14,0,MIN(8,1+INT(($A38-14)/9)))</f>
        <v>3</v>
      </c>
      <c r="M38" s="50" t="n">
        <f aca="false">IF($A38&lt;16,0,IF($A38&lt;40,1,2))</f>
        <v>1</v>
      </c>
      <c r="N38" s="50" t="n">
        <f aca="false">IF($A38&lt;20,0,MIN(4,1+INT(($A38-20)/12)))</f>
        <v>2</v>
      </c>
      <c r="O38" s="50" t="n">
        <f aca="false">IF($A38&lt;22,0,MIN(3,1+INT(($A38-22)/15)))</f>
        <v>1</v>
      </c>
      <c r="P38" s="50" t="n">
        <f aca="false">IF($A38&lt;28,0,IF($A38&lt;50,1,2))</f>
        <v>1</v>
      </c>
      <c r="Q38" s="50" t="n">
        <f aca="false">1+IF($A38&gt;=34,1,0)+IF($A38&gt;=60,1,0)+MAX(0,INT(($A38-60)/30))</f>
        <v>1</v>
      </c>
      <c r="R38" s="50" t="n">
        <f aca="false">40+2*MAX(0,$A38-10)</f>
        <v>86</v>
      </c>
      <c r="S38" s="50" t="n">
        <f aca="false">60+2*MAX(0,$A38-10)</f>
        <v>106</v>
      </c>
      <c r="T38" s="50" t="n">
        <f aca="false">40+5.5*$A38</f>
        <v>221.5</v>
      </c>
    </row>
    <row r="39" customFormat="false" ht="15" hidden="false" customHeight="true" outlineLevel="0" collapsed="false">
      <c r="A39" s="24" t="n">
        <v>34</v>
      </c>
      <c r="B39" s="53" t="n">
        <f aca="false">1+MIN(0.5,$A39*0.02)+0.01*MAX(MIN($A39,55)-25,0)+0.004*MAX(0,$A39-55)</f>
        <v>1.59</v>
      </c>
      <c r="C39" s="54" t="n">
        <f aca="false">IF($A39&gt;=12,1,0)+IF($A39&gt;=18,1,0)+IF($A39&gt;18,INT(($A39-18)/5),0)</f>
        <v>5</v>
      </c>
      <c r="D39" s="54" t="n">
        <f aca="false">IF($A39&gt;=26,1,0)+IF($A39&gt;=38,1,0)+IF($A39&gt;38,INT(($A39-38)/12),0)</f>
        <v>1</v>
      </c>
      <c r="E39" s="54" t="n">
        <f aca="false">IF($A39&gt;=25,1,0)+IF($A39&gt;=50,1,0)+MAX(0,INT(($A39-50)/25))</f>
        <v>1</v>
      </c>
      <c r="F39" s="54" t="n">
        <f aca="false">IF($A39&gt;=60,1,0)+MAX(0,INT(($A39-60)/30))</f>
        <v>0</v>
      </c>
      <c r="G39" s="55" t="n">
        <f aca="false">IF($A39&lt;=18,MAX(0.18,0.9-$A39*0.04),0.06+0.12*EXP(-($A39-18)/25))</f>
        <v>0.123275090885166</v>
      </c>
      <c r="H39" s="54" t="n">
        <f aca="false">IF($A39&lt;36,1,IF($A39&lt;60,2,3))</f>
        <v>1</v>
      </c>
      <c r="I39" s="56" t="n">
        <f aca="false">IF($A39&lt;6,0,0.14+0.55*(1-EXP(-($A39-6)/22)))</f>
        <v>0.535963281548093</v>
      </c>
      <c r="J39" s="56" t="n">
        <f aca="false">IF($A39&lt;18,0,0.35*(1-EXP(-($A39-17)/30)))</f>
        <v>0.151405215921049</v>
      </c>
      <c r="K39" s="53" t="n">
        <f aca="false">IF($A39&lt;=15,1,1+(1-EXP(-($A39-15)/15)))</f>
        <v>1.71823071090504</v>
      </c>
      <c r="L39" s="54" t="n">
        <f aca="false">IF($A39&lt;14,0,MIN(8,1+INT(($A39-14)/9)))</f>
        <v>3</v>
      </c>
      <c r="M39" s="54" t="n">
        <f aca="false">IF($A39&lt;16,0,IF($A39&lt;40,1,2))</f>
        <v>1</v>
      </c>
      <c r="N39" s="54" t="n">
        <f aca="false">IF($A39&lt;20,0,MIN(4,1+INT(($A39-20)/12)))</f>
        <v>2</v>
      </c>
      <c r="O39" s="54" t="n">
        <f aca="false">IF($A39&lt;22,0,MIN(3,1+INT(($A39-22)/15)))</f>
        <v>1</v>
      </c>
      <c r="P39" s="54" t="n">
        <f aca="false">IF($A39&lt;28,0,IF($A39&lt;50,1,2))</f>
        <v>1</v>
      </c>
      <c r="Q39" s="54" t="n">
        <f aca="false">1+IF($A39&gt;=34,1,0)+IF($A39&gt;=60,1,0)+MAX(0,INT(($A39-60)/30))</f>
        <v>2</v>
      </c>
      <c r="R39" s="54" t="n">
        <f aca="false">40+2*MAX(0,$A39-10)</f>
        <v>88</v>
      </c>
      <c r="S39" s="54" t="n">
        <f aca="false">60+2*MAX(0,$A39-10)</f>
        <v>108</v>
      </c>
      <c r="T39" s="54" t="n">
        <f aca="false">40+5.5*$A39</f>
        <v>227</v>
      </c>
    </row>
    <row r="40" customFormat="false" ht="15" hidden="false" customHeight="true" outlineLevel="0" collapsed="false">
      <c r="A40" s="16" t="n">
        <v>35</v>
      </c>
      <c r="B40" s="49" t="n">
        <f aca="false">1+MIN(0.5,$A40*0.02)+0.01*MAX(MIN($A40,55)-25,0)+0.004*MAX(0,$A40-55)</f>
        <v>1.6</v>
      </c>
      <c r="C40" s="50" t="n">
        <f aca="false">IF($A40&gt;=12,1,0)+IF($A40&gt;=18,1,0)+IF($A40&gt;18,INT(($A40-18)/5),0)</f>
        <v>5</v>
      </c>
      <c r="D40" s="50" t="n">
        <f aca="false">IF($A40&gt;=26,1,0)+IF($A40&gt;=38,1,0)+IF($A40&gt;38,INT(($A40-38)/12),0)</f>
        <v>1</v>
      </c>
      <c r="E40" s="50" t="n">
        <f aca="false">IF($A40&gt;=25,1,0)+IF($A40&gt;=50,1,0)+MAX(0,INT(($A40-50)/25))</f>
        <v>1</v>
      </c>
      <c r="F40" s="50" t="n">
        <f aca="false">IF($A40&gt;=60,1,0)+MAX(0,INT(($A40-60)/30))</f>
        <v>0</v>
      </c>
      <c r="G40" s="51" t="n">
        <f aca="false">IF($A40&lt;=18,MAX(0.18,0.9-$A40*0.04),0.06+0.12*EXP(-($A40-18)/25))</f>
        <v>0.120794039083871</v>
      </c>
      <c r="H40" s="50" t="n">
        <f aca="false">IF($A40&lt;36,1,IF($A40&lt;60,2,3))</f>
        <v>1</v>
      </c>
      <c r="I40" s="52" t="n">
        <f aca="false">IF($A40&lt;6,0,0.14+0.55*(1-EXP(-($A40-6)/22)))</f>
        <v>0.542808205619293</v>
      </c>
      <c r="J40" s="52" t="n">
        <f aca="false">IF($A40&lt;18,0,0.35*(1-EXP(-($A40-17)/30)))</f>
        <v>0.157915927367091</v>
      </c>
      <c r="K40" s="49" t="n">
        <f aca="false">IF($A40&lt;=15,1,1+(1-EXP(-($A40-15)/15)))</f>
        <v>1.73640286188427</v>
      </c>
      <c r="L40" s="50" t="n">
        <f aca="false">IF($A40&lt;14,0,MIN(8,1+INT(($A40-14)/9)))</f>
        <v>3</v>
      </c>
      <c r="M40" s="50" t="n">
        <f aca="false">IF($A40&lt;16,0,IF($A40&lt;40,1,2))</f>
        <v>1</v>
      </c>
      <c r="N40" s="50" t="n">
        <f aca="false">IF($A40&lt;20,0,MIN(4,1+INT(($A40-20)/12)))</f>
        <v>2</v>
      </c>
      <c r="O40" s="50" t="n">
        <f aca="false">IF($A40&lt;22,0,MIN(3,1+INT(($A40-22)/15)))</f>
        <v>1</v>
      </c>
      <c r="P40" s="50" t="n">
        <f aca="false">IF($A40&lt;28,0,IF($A40&lt;50,1,2))</f>
        <v>1</v>
      </c>
      <c r="Q40" s="50" t="n">
        <f aca="false">1+IF($A40&gt;=34,1,0)+IF($A40&gt;=60,1,0)+MAX(0,INT(($A40-60)/30))</f>
        <v>2</v>
      </c>
      <c r="R40" s="50" t="n">
        <f aca="false">40+2*MAX(0,$A40-10)</f>
        <v>90</v>
      </c>
      <c r="S40" s="50" t="n">
        <f aca="false">60+2*MAX(0,$A40-10)</f>
        <v>110</v>
      </c>
      <c r="T40" s="50" t="n">
        <f aca="false">40+5.5*$A40</f>
        <v>232.5</v>
      </c>
    </row>
    <row r="41" customFormat="false" ht="15" hidden="false" customHeight="true" outlineLevel="0" collapsed="false">
      <c r="A41" s="24" t="n">
        <v>36</v>
      </c>
      <c r="B41" s="53" t="n">
        <f aca="false">1+MIN(0.5,$A41*0.02)+0.01*MAX(MIN($A41,55)-25,0)+0.004*MAX(0,$A41-55)</f>
        <v>1.61</v>
      </c>
      <c r="C41" s="54" t="n">
        <f aca="false">IF($A41&gt;=12,1,0)+IF($A41&gt;=18,1,0)+IF($A41&gt;18,INT(($A41-18)/5),0)</f>
        <v>5</v>
      </c>
      <c r="D41" s="54" t="n">
        <f aca="false">IF($A41&gt;=26,1,0)+IF($A41&gt;=38,1,0)+IF($A41&gt;38,INT(($A41-38)/12),0)</f>
        <v>1</v>
      </c>
      <c r="E41" s="54" t="n">
        <f aca="false">IF($A41&gt;=25,1,0)+IF($A41&gt;=50,1,0)+MAX(0,INT(($A41-50)/25))</f>
        <v>1</v>
      </c>
      <c r="F41" s="54" t="n">
        <f aca="false">IF($A41&gt;=60,1,0)+MAX(0,INT(($A41-60)/30))</f>
        <v>0</v>
      </c>
      <c r="G41" s="55" t="n">
        <f aca="false">IF($A41&lt;=18,MAX(0.18,0.9-$A41*0.04),0.06+0.12*EXP(-($A41-18)/25))</f>
        <v>0.118410270715197</v>
      </c>
      <c r="H41" s="54" t="n">
        <f aca="false">IF($A41&lt;36,1,IF($A41&lt;60,2,3))</f>
        <v>2</v>
      </c>
      <c r="I41" s="56" t="n">
        <f aca="false">IF($A41&lt;6,0,0.14+0.55*(1-EXP(-($A41-6)/22)))</f>
        <v>0.549348962047795</v>
      </c>
      <c r="J41" s="56" t="n">
        <f aca="false">IF($A41&lt;18,0,0.35*(1-EXP(-($A41-17)/30)))</f>
        <v>0.164213192303295</v>
      </c>
      <c r="K41" s="53" t="n">
        <f aca="false">IF($A41&lt;=15,1,1+(1-EXP(-($A41-15)/15)))</f>
        <v>1.75340303605839</v>
      </c>
      <c r="L41" s="54" t="n">
        <f aca="false">IF($A41&lt;14,0,MIN(8,1+INT(($A41-14)/9)))</f>
        <v>3</v>
      </c>
      <c r="M41" s="54" t="n">
        <f aca="false">IF($A41&lt;16,0,IF($A41&lt;40,1,2))</f>
        <v>1</v>
      </c>
      <c r="N41" s="54" t="n">
        <f aca="false">IF($A41&lt;20,0,MIN(4,1+INT(($A41-20)/12)))</f>
        <v>2</v>
      </c>
      <c r="O41" s="54" t="n">
        <f aca="false">IF($A41&lt;22,0,MIN(3,1+INT(($A41-22)/15)))</f>
        <v>1</v>
      </c>
      <c r="P41" s="54" t="n">
        <f aca="false">IF($A41&lt;28,0,IF($A41&lt;50,1,2))</f>
        <v>1</v>
      </c>
      <c r="Q41" s="54" t="n">
        <f aca="false">1+IF($A41&gt;=34,1,0)+IF($A41&gt;=60,1,0)+MAX(0,INT(($A41-60)/30))</f>
        <v>2</v>
      </c>
      <c r="R41" s="54" t="n">
        <f aca="false">40+2*MAX(0,$A41-10)</f>
        <v>92</v>
      </c>
      <c r="S41" s="54" t="n">
        <f aca="false">60+2*MAX(0,$A41-10)</f>
        <v>112</v>
      </c>
      <c r="T41" s="54" t="n">
        <f aca="false">40+5.5*$A41</f>
        <v>238</v>
      </c>
    </row>
    <row r="42" customFormat="false" ht="15" hidden="false" customHeight="true" outlineLevel="0" collapsed="false">
      <c r="A42" s="16" t="n">
        <v>37</v>
      </c>
      <c r="B42" s="49" t="n">
        <f aca="false">1+MIN(0.5,$A42*0.02)+0.01*MAX(MIN($A42,55)-25,0)+0.004*MAX(0,$A42-55)</f>
        <v>1.62</v>
      </c>
      <c r="C42" s="50" t="n">
        <f aca="false">IF($A42&gt;=12,1,0)+IF($A42&gt;=18,1,0)+IF($A42&gt;18,INT(($A42-18)/5),0)</f>
        <v>5</v>
      </c>
      <c r="D42" s="50" t="n">
        <f aca="false">IF($A42&gt;=26,1,0)+IF($A42&gt;=38,1,0)+IF($A42&gt;38,INT(($A42-38)/12),0)</f>
        <v>1</v>
      </c>
      <c r="E42" s="50" t="n">
        <f aca="false">IF($A42&gt;=25,1,0)+IF($A42&gt;=50,1,0)+MAX(0,INT(($A42-50)/25))</f>
        <v>1</v>
      </c>
      <c r="F42" s="50" t="n">
        <f aca="false">IF($A42&gt;=60,1,0)+MAX(0,INT(($A42-60)/30))</f>
        <v>0</v>
      </c>
      <c r="G42" s="51" t="n">
        <f aca="false">IF($A42&lt;=18,MAX(0.18,0.9-$A42*0.04),0.06+0.12*EXP(-($A42-18)/25))</f>
        <v>0.116119971241189</v>
      </c>
      <c r="H42" s="50" t="n">
        <f aca="false">IF($A42&lt;36,1,IF($A42&lt;60,2,3))</f>
        <v>2</v>
      </c>
      <c r="I42" s="52" t="n">
        <f aca="false">IF($A42&lt;6,0,0.14+0.55*(1-EXP(-($A42-6)/22)))</f>
        <v>0.555599067120105</v>
      </c>
      <c r="J42" s="52" t="n">
        <f aca="false">IF($A42&lt;18,0,0.35*(1-EXP(-($A42-17)/30)))</f>
        <v>0.170304008338593</v>
      </c>
      <c r="K42" s="49" t="n">
        <f aca="false">IF($A42&lt;=15,1,1+(1-EXP(-($A42-15)/15)))</f>
        <v>1.76930681774504</v>
      </c>
      <c r="L42" s="50" t="n">
        <f aca="false">IF($A42&lt;14,0,MIN(8,1+INT(($A42-14)/9)))</f>
        <v>3</v>
      </c>
      <c r="M42" s="50" t="n">
        <f aca="false">IF($A42&lt;16,0,IF($A42&lt;40,1,2))</f>
        <v>1</v>
      </c>
      <c r="N42" s="50" t="n">
        <f aca="false">IF($A42&lt;20,0,MIN(4,1+INT(($A42-20)/12)))</f>
        <v>2</v>
      </c>
      <c r="O42" s="50" t="n">
        <f aca="false">IF($A42&lt;22,0,MIN(3,1+INT(($A42-22)/15)))</f>
        <v>2</v>
      </c>
      <c r="P42" s="50" t="n">
        <f aca="false">IF($A42&lt;28,0,IF($A42&lt;50,1,2))</f>
        <v>1</v>
      </c>
      <c r="Q42" s="50" t="n">
        <f aca="false">1+IF($A42&gt;=34,1,0)+IF($A42&gt;=60,1,0)+MAX(0,INT(($A42-60)/30))</f>
        <v>2</v>
      </c>
      <c r="R42" s="50" t="n">
        <f aca="false">40+2*MAX(0,$A42-10)</f>
        <v>94</v>
      </c>
      <c r="S42" s="50" t="n">
        <f aca="false">60+2*MAX(0,$A42-10)</f>
        <v>114</v>
      </c>
      <c r="T42" s="50" t="n">
        <f aca="false">40+5.5*$A42</f>
        <v>243.5</v>
      </c>
    </row>
    <row r="43" customFormat="false" ht="15" hidden="false" customHeight="true" outlineLevel="0" collapsed="false">
      <c r="A43" s="24" t="n">
        <v>38</v>
      </c>
      <c r="B43" s="53" t="n">
        <f aca="false">1+MIN(0.5,$A43*0.02)+0.01*MAX(MIN($A43,55)-25,0)+0.004*MAX(0,$A43-55)</f>
        <v>1.63</v>
      </c>
      <c r="C43" s="54" t="n">
        <f aca="false">IF($A43&gt;=12,1,0)+IF($A43&gt;=18,1,0)+IF($A43&gt;18,INT(($A43-18)/5),0)</f>
        <v>6</v>
      </c>
      <c r="D43" s="54" t="n">
        <f aca="false">IF($A43&gt;=26,1,0)+IF($A43&gt;=38,1,0)+IF($A43&gt;38,INT(($A43-38)/12),0)</f>
        <v>2</v>
      </c>
      <c r="E43" s="54" t="n">
        <f aca="false">IF($A43&gt;=25,1,0)+IF($A43&gt;=50,1,0)+MAX(0,INT(($A43-50)/25))</f>
        <v>1</v>
      </c>
      <c r="F43" s="54" t="n">
        <f aca="false">IF($A43&gt;=60,1,0)+MAX(0,INT(($A43-60)/30))</f>
        <v>0</v>
      </c>
      <c r="G43" s="55" t="n">
        <f aca="false">IF($A43&lt;=18,MAX(0.18,0.9-$A43*0.04),0.06+0.12*EXP(-($A43-18)/25))</f>
        <v>0.113919475694067</v>
      </c>
      <c r="H43" s="54" t="n">
        <f aca="false">IF($A43&lt;36,1,IF($A43&lt;60,2,3))</f>
        <v>2</v>
      </c>
      <c r="I43" s="56" t="n">
        <f aca="false">IF($A43&lt;6,0,0.14+0.55*(1-EXP(-($A43-6)/22)))</f>
        <v>0.561571436499998</v>
      </c>
      <c r="J43" s="56" t="n">
        <f aca="false">IF($A43&lt;18,0,0.35*(1-EXP(-($A43-17)/30)))</f>
        <v>0.176195143673007</v>
      </c>
      <c r="K43" s="53" t="n">
        <f aca="false">IF($A43&lt;=15,1,1+(1-EXP(-($A43-15)/15)))</f>
        <v>1.78418491660131</v>
      </c>
      <c r="L43" s="54" t="n">
        <f aca="false">IF($A43&lt;14,0,MIN(8,1+INT(($A43-14)/9)))</f>
        <v>3</v>
      </c>
      <c r="M43" s="54" t="n">
        <f aca="false">IF($A43&lt;16,0,IF($A43&lt;40,1,2))</f>
        <v>1</v>
      </c>
      <c r="N43" s="54" t="n">
        <f aca="false">IF($A43&lt;20,0,MIN(4,1+INT(($A43-20)/12)))</f>
        <v>2</v>
      </c>
      <c r="O43" s="54" t="n">
        <f aca="false">IF($A43&lt;22,0,MIN(3,1+INT(($A43-22)/15)))</f>
        <v>2</v>
      </c>
      <c r="P43" s="54" t="n">
        <f aca="false">IF($A43&lt;28,0,IF($A43&lt;50,1,2))</f>
        <v>1</v>
      </c>
      <c r="Q43" s="54" t="n">
        <f aca="false">1+IF($A43&gt;=34,1,0)+IF($A43&gt;=60,1,0)+MAX(0,INT(($A43-60)/30))</f>
        <v>2</v>
      </c>
      <c r="R43" s="54" t="n">
        <f aca="false">40+2*MAX(0,$A43-10)</f>
        <v>96</v>
      </c>
      <c r="S43" s="54" t="n">
        <f aca="false">60+2*MAX(0,$A43-10)</f>
        <v>116</v>
      </c>
      <c r="T43" s="54" t="n">
        <f aca="false">40+5.5*$A43</f>
        <v>249</v>
      </c>
    </row>
    <row r="44" customFormat="false" ht="15" hidden="false" customHeight="true" outlineLevel="0" collapsed="false">
      <c r="A44" s="16" t="n">
        <v>39</v>
      </c>
      <c r="B44" s="49" t="n">
        <f aca="false">1+MIN(0.5,$A44*0.02)+0.01*MAX(MIN($A44,55)-25,0)+0.004*MAX(0,$A44-55)</f>
        <v>1.64</v>
      </c>
      <c r="C44" s="50" t="n">
        <f aca="false">IF($A44&gt;=12,1,0)+IF($A44&gt;=18,1,0)+IF($A44&gt;18,INT(($A44-18)/5),0)</f>
        <v>6</v>
      </c>
      <c r="D44" s="50" t="n">
        <f aca="false">IF($A44&gt;=26,1,0)+IF($A44&gt;=38,1,0)+IF($A44&gt;38,INT(($A44-38)/12),0)</f>
        <v>2</v>
      </c>
      <c r="E44" s="50" t="n">
        <f aca="false">IF($A44&gt;=25,1,0)+IF($A44&gt;=50,1,0)+MAX(0,INT(($A44-50)/25))</f>
        <v>1</v>
      </c>
      <c r="F44" s="50" t="n">
        <f aca="false">IF($A44&gt;=60,1,0)+MAX(0,INT(($A44-60)/30))</f>
        <v>0</v>
      </c>
      <c r="G44" s="51" t="n">
        <f aca="false">IF($A44&lt;=18,MAX(0.18,0.9-$A44*0.04),0.06+0.12*EXP(-($A44-18)/25))</f>
        <v>0.11180526281149</v>
      </c>
      <c r="H44" s="50" t="n">
        <f aca="false">IF($A44&lt;36,1,IF($A44&lt;60,2,3))</f>
        <v>2</v>
      </c>
      <c r="I44" s="52" t="n">
        <f aca="false">IF($A44&lt;6,0,0.14+0.55*(1-EXP(-($A44-6)/22)))</f>
        <v>0.567278411918364</v>
      </c>
      <c r="J44" s="52" t="n">
        <f aca="false">IF($A44&lt;18,0,0.35*(1-EXP(-($A44-17)/30)))</f>
        <v>0.18189314461857</v>
      </c>
      <c r="K44" s="49" t="n">
        <f aca="false">IF($A44&lt;=15,1,1+(1-EXP(-($A44-15)/15)))</f>
        <v>1.79810348200534</v>
      </c>
      <c r="L44" s="50" t="n">
        <f aca="false">IF($A44&lt;14,0,MIN(8,1+INT(($A44-14)/9)))</f>
        <v>3</v>
      </c>
      <c r="M44" s="50" t="n">
        <f aca="false">IF($A44&lt;16,0,IF($A44&lt;40,1,2))</f>
        <v>1</v>
      </c>
      <c r="N44" s="50" t="n">
        <f aca="false">IF($A44&lt;20,0,MIN(4,1+INT(($A44-20)/12)))</f>
        <v>2</v>
      </c>
      <c r="O44" s="50" t="n">
        <f aca="false">IF($A44&lt;22,0,MIN(3,1+INT(($A44-22)/15)))</f>
        <v>2</v>
      </c>
      <c r="P44" s="50" t="n">
        <f aca="false">IF($A44&lt;28,0,IF($A44&lt;50,1,2))</f>
        <v>1</v>
      </c>
      <c r="Q44" s="50" t="n">
        <f aca="false">1+IF($A44&gt;=34,1,0)+IF($A44&gt;=60,1,0)+MAX(0,INT(($A44-60)/30))</f>
        <v>2</v>
      </c>
      <c r="R44" s="50" t="n">
        <f aca="false">40+2*MAX(0,$A44-10)</f>
        <v>98</v>
      </c>
      <c r="S44" s="50" t="n">
        <f aca="false">60+2*MAX(0,$A44-10)</f>
        <v>118</v>
      </c>
      <c r="T44" s="50" t="n">
        <f aca="false">40+5.5*$A44</f>
        <v>254.5</v>
      </c>
    </row>
    <row r="45" customFormat="false" ht="15" hidden="false" customHeight="true" outlineLevel="0" collapsed="false">
      <c r="A45" s="24" t="n">
        <v>40</v>
      </c>
      <c r="B45" s="53" t="n">
        <f aca="false">1+MIN(0.5,$A45*0.02)+0.01*MAX(MIN($A45,55)-25,0)+0.004*MAX(0,$A45-55)</f>
        <v>1.65</v>
      </c>
      <c r="C45" s="54" t="n">
        <f aca="false">IF($A45&gt;=12,1,0)+IF($A45&gt;=18,1,0)+IF($A45&gt;18,INT(($A45-18)/5),0)</f>
        <v>6</v>
      </c>
      <c r="D45" s="54" t="n">
        <f aca="false">IF($A45&gt;=26,1,0)+IF($A45&gt;=38,1,0)+IF($A45&gt;38,INT(($A45-38)/12),0)</f>
        <v>2</v>
      </c>
      <c r="E45" s="54" t="n">
        <f aca="false">IF($A45&gt;=25,1,0)+IF($A45&gt;=50,1,0)+MAX(0,INT(($A45-50)/25))</f>
        <v>1</v>
      </c>
      <c r="F45" s="54" t="n">
        <f aca="false">IF($A45&gt;=60,1,0)+MAX(0,INT(($A45-60)/30))</f>
        <v>0</v>
      </c>
      <c r="G45" s="55" t="n">
        <f aca="false">IF($A45&lt;=18,MAX(0.18,0.9-$A45*0.04),0.06+0.12*EXP(-($A45-18)/25))</f>
        <v>0.10977394940179</v>
      </c>
      <c r="H45" s="54" t="n">
        <f aca="false">IF($A45&lt;36,1,IF($A45&lt;60,2,3))</f>
        <v>2</v>
      </c>
      <c r="I45" s="56" t="n">
        <f aca="false">IF($A45&lt;6,0,0.14+0.55*(1-EXP(-($A45-6)/22)))</f>
        <v>0.572731786677046</v>
      </c>
      <c r="J45" s="56" t="n">
        <f aca="false">IF($A45&lt;18,0,0.35*(1-EXP(-($A45-17)/30)))</f>
        <v>0.187404342873681</v>
      </c>
      <c r="K45" s="53" t="n">
        <f aca="false">IF($A45&lt;=15,1,1+(1-EXP(-($A45-15)/15)))</f>
        <v>1.81112439716244</v>
      </c>
      <c r="L45" s="54" t="n">
        <f aca="false">IF($A45&lt;14,0,MIN(8,1+INT(($A45-14)/9)))</f>
        <v>3</v>
      </c>
      <c r="M45" s="54" t="n">
        <f aca="false">IF($A45&lt;16,0,IF($A45&lt;40,1,2))</f>
        <v>2</v>
      </c>
      <c r="N45" s="54" t="n">
        <f aca="false">IF($A45&lt;20,0,MIN(4,1+INT(($A45-20)/12)))</f>
        <v>2</v>
      </c>
      <c r="O45" s="54" t="n">
        <f aca="false">IF($A45&lt;22,0,MIN(3,1+INT(($A45-22)/15)))</f>
        <v>2</v>
      </c>
      <c r="P45" s="54" t="n">
        <f aca="false">IF($A45&lt;28,0,IF($A45&lt;50,1,2))</f>
        <v>1</v>
      </c>
      <c r="Q45" s="54" t="n">
        <f aca="false">1+IF($A45&gt;=34,1,0)+IF($A45&gt;=60,1,0)+MAX(0,INT(($A45-60)/30))</f>
        <v>2</v>
      </c>
      <c r="R45" s="54" t="n">
        <f aca="false">40+2*MAX(0,$A45-10)</f>
        <v>100</v>
      </c>
      <c r="S45" s="54" t="n">
        <f aca="false">60+2*MAX(0,$A45-10)</f>
        <v>120</v>
      </c>
      <c r="T45" s="54" t="n">
        <f aca="false">40+5.5*$A45</f>
        <v>260</v>
      </c>
    </row>
    <row r="46" customFormat="false" ht="15" hidden="false" customHeight="true" outlineLevel="0" collapsed="false">
      <c r="A46" s="16" t="n">
        <v>41</v>
      </c>
      <c r="B46" s="49" t="n">
        <f aca="false">1+MIN(0.5,$A46*0.02)+0.01*MAX(MIN($A46,55)-25,0)+0.004*MAX(0,$A46-55)</f>
        <v>1.66</v>
      </c>
      <c r="C46" s="50" t="n">
        <f aca="false">IF($A46&gt;=12,1,0)+IF($A46&gt;=18,1,0)+IF($A46&gt;18,INT(($A46-18)/5),0)</f>
        <v>6</v>
      </c>
      <c r="D46" s="50" t="n">
        <f aca="false">IF($A46&gt;=26,1,0)+IF($A46&gt;=38,1,0)+IF($A46&gt;38,INT(($A46-38)/12),0)</f>
        <v>2</v>
      </c>
      <c r="E46" s="50" t="n">
        <f aca="false">IF($A46&gt;=25,1,0)+IF($A46&gt;=50,1,0)+MAX(0,INT(($A46-50)/25))</f>
        <v>1</v>
      </c>
      <c r="F46" s="50" t="n">
        <f aca="false">IF($A46&gt;=60,1,0)+MAX(0,INT(($A46-60)/30))</f>
        <v>0</v>
      </c>
      <c r="G46" s="51" t="n">
        <f aca="false">IF($A46&lt;=18,MAX(0.18,0.9-$A46*0.04),0.06+0.12*EXP(-($A46-18)/25))</f>
        <v>0.107822284930142</v>
      </c>
      <c r="H46" s="50" t="n">
        <f aca="false">IF($A46&lt;36,1,IF($A46&lt;60,2,3))</f>
        <v>2</v>
      </c>
      <c r="I46" s="52" t="n">
        <f aca="false">IF($A46&lt;6,0,0.14+0.55*(1-EXP(-($A46-6)/22)))</f>
        <v>0.577942830019361</v>
      </c>
      <c r="J46" s="52" t="n">
        <f aca="false">IF($A46&lt;18,0,0.35*(1-EXP(-($A46-17)/30)))</f>
        <v>0.192734862558972</v>
      </c>
      <c r="K46" s="49" t="n">
        <f aca="false">IF($A46&lt;=15,1,1+(1-EXP(-($A46-15)/15)))</f>
        <v>1.8233055542434</v>
      </c>
      <c r="L46" s="50" t="n">
        <f aca="false">IF($A46&lt;14,0,MIN(8,1+INT(($A46-14)/9)))</f>
        <v>4</v>
      </c>
      <c r="M46" s="50" t="n">
        <f aca="false">IF($A46&lt;16,0,IF($A46&lt;40,1,2))</f>
        <v>2</v>
      </c>
      <c r="N46" s="50" t="n">
        <f aca="false">IF($A46&lt;20,0,MIN(4,1+INT(($A46-20)/12)))</f>
        <v>2</v>
      </c>
      <c r="O46" s="50" t="n">
        <f aca="false">IF($A46&lt;22,0,MIN(3,1+INT(($A46-22)/15)))</f>
        <v>2</v>
      </c>
      <c r="P46" s="50" t="n">
        <f aca="false">IF($A46&lt;28,0,IF($A46&lt;50,1,2))</f>
        <v>1</v>
      </c>
      <c r="Q46" s="50" t="n">
        <f aca="false">1+IF($A46&gt;=34,1,0)+IF($A46&gt;=60,1,0)+MAX(0,INT(($A46-60)/30))</f>
        <v>2</v>
      </c>
      <c r="R46" s="50" t="n">
        <f aca="false">40+2*MAX(0,$A46-10)</f>
        <v>102</v>
      </c>
      <c r="S46" s="50" t="n">
        <f aca="false">60+2*MAX(0,$A46-10)</f>
        <v>122</v>
      </c>
      <c r="T46" s="50" t="n">
        <f aca="false">40+5.5*$A46</f>
        <v>265.5</v>
      </c>
    </row>
    <row r="47" customFormat="false" ht="15" hidden="false" customHeight="true" outlineLevel="0" collapsed="false">
      <c r="A47" s="24" t="n">
        <v>42</v>
      </c>
      <c r="B47" s="53" t="n">
        <f aca="false">1+MIN(0.5,$A47*0.02)+0.01*MAX(MIN($A47,55)-25,0)+0.004*MAX(0,$A47-55)</f>
        <v>1.67</v>
      </c>
      <c r="C47" s="54" t="n">
        <f aca="false">IF($A47&gt;=12,1,0)+IF($A47&gt;=18,1,0)+IF($A47&gt;18,INT(($A47-18)/5),0)</f>
        <v>6</v>
      </c>
      <c r="D47" s="54" t="n">
        <f aca="false">IF($A47&gt;=26,1,0)+IF($A47&gt;=38,1,0)+IF($A47&gt;38,INT(($A47-38)/12),0)</f>
        <v>2</v>
      </c>
      <c r="E47" s="54" t="n">
        <f aca="false">IF($A47&gt;=25,1,0)+IF($A47&gt;=50,1,0)+MAX(0,INT(($A47-50)/25))</f>
        <v>1</v>
      </c>
      <c r="F47" s="54" t="n">
        <f aca="false">IF($A47&gt;=60,1,0)+MAX(0,INT(($A47-60)/30))</f>
        <v>0</v>
      </c>
      <c r="G47" s="55" t="n">
        <f aca="false">IF($A47&lt;=18,MAX(0.18,0.9-$A47*0.04),0.06+0.12*EXP(-($A47-18)/25))</f>
        <v>0.105947146317013</v>
      </c>
      <c r="H47" s="54" t="n">
        <f aca="false">IF($A47&lt;36,1,IF($A47&lt;60,2,3))</f>
        <v>2</v>
      </c>
      <c r="I47" s="56" t="n">
        <f aca="false">IF($A47&lt;6,0,0.14+0.55*(1-EXP(-($A47-6)/22)))</f>
        <v>0.58292231041767</v>
      </c>
      <c r="J47" s="56" t="n">
        <f aca="false">IF($A47&lt;18,0,0.35*(1-EXP(-($A47-17)/30)))</f>
        <v>0.197890627022523</v>
      </c>
      <c r="K47" s="53" t="n">
        <f aca="false">IF($A47&lt;=15,1,1+(1-EXP(-($A47-15)/15)))</f>
        <v>1.83470111177841</v>
      </c>
      <c r="L47" s="54" t="n">
        <f aca="false">IF($A47&lt;14,0,MIN(8,1+INT(($A47-14)/9)))</f>
        <v>4</v>
      </c>
      <c r="M47" s="54" t="n">
        <f aca="false">IF($A47&lt;16,0,IF($A47&lt;40,1,2))</f>
        <v>2</v>
      </c>
      <c r="N47" s="54" t="n">
        <f aca="false">IF($A47&lt;20,0,MIN(4,1+INT(($A47-20)/12)))</f>
        <v>2</v>
      </c>
      <c r="O47" s="54" t="n">
        <f aca="false">IF($A47&lt;22,0,MIN(3,1+INT(($A47-22)/15)))</f>
        <v>2</v>
      </c>
      <c r="P47" s="54" t="n">
        <f aca="false">IF($A47&lt;28,0,IF($A47&lt;50,1,2))</f>
        <v>1</v>
      </c>
      <c r="Q47" s="54" t="n">
        <f aca="false">1+IF($A47&gt;=34,1,0)+IF($A47&gt;=60,1,0)+MAX(0,INT(($A47-60)/30))</f>
        <v>2</v>
      </c>
      <c r="R47" s="54" t="n">
        <f aca="false">40+2*MAX(0,$A47-10)</f>
        <v>104</v>
      </c>
      <c r="S47" s="54" t="n">
        <f aca="false">60+2*MAX(0,$A47-10)</f>
        <v>124</v>
      </c>
      <c r="T47" s="54" t="n">
        <f aca="false">40+5.5*$A47</f>
        <v>271</v>
      </c>
    </row>
    <row r="48" customFormat="false" ht="15" hidden="false" customHeight="true" outlineLevel="0" collapsed="false">
      <c r="A48" s="16" t="n">
        <v>43</v>
      </c>
      <c r="B48" s="49" t="n">
        <f aca="false">1+MIN(0.5,$A48*0.02)+0.01*MAX(MIN($A48,55)-25,0)+0.004*MAX(0,$A48-55)</f>
        <v>1.68</v>
      </c>
      <c r="C48" s="50" t="n">
        <f aca="false">IF($A48&gt;=12,1,0)+IF($A48&gt;=18,1,0)+IF($A48&gt;18,INT(($A48-18)/5),0)</f>
        <v>7</v>
      </c>
      <c r="D48" s="50" t="n">
        <f aca="false">IF($A48&gt;=26,1,0)+IF($A48&gt;=38,1,0)+IF($A48&gt;38,INT(($A48-38)/12),0)</f>
        <v>2</v>
      </c>
      <c r="E48" s="50" t="n">
        <f aca="false">IF($A48&gt;=25,1,0)+IF($A48&gt;=50,1,0)+MAX(0,INT(($A48-50)/25))</f>
        <v>1</v>
      </c>
      <c r="F48" s="50" t="n">
        <f aca="false">IF($A48&gt;=60,1,0)+MAX(0,INT(($A48-60)/30))</f>
        <v>0</v>
      </c>
      <c r="G48" s="51" t="n">
        <f aca="false">IF($A48&lt;=18,MAX(0.18,0.9-$A48*0.04),0.06+0.12*EXP(-($A48-18)/25))</f>
        <v>0.104145532940573</v>
      </c>
      <c r="H48" s="50" t="n">
        <f aca="false">IF($A48&lt;36,1,IF($A48&lt;60,2,3))</f>
        <v>2</v>
      </c>
      <c r="I48" s="52" t="n">
        <f aca="false">IF($A48&lt;6,0,0.14+0.55*(1-EXP(-($A48-6)/22)))</f>
        <v>0.587680517826115</v>
      </c>
      <c r="J48" s="52" t="n">
        <f aca="false">IF($A48&lt;18,0,0.35*(1-EXP(-($A48-17)/30)))</f>
        <v>0.202877365421961</v>
      </c>
      <c r="K48" s="49" t="n">
        <f aca="false">IF($A48&lt;=15,1,1+(1-EXP(-($A48-15)/15)))</f>
        <v>1.84536173545075</v>
      </c>
      <c r="L48" s="50" t="n">
        <f aca="false">IF($A48&lt;14,0,MIN(8,1+INT(($A48-14)/9)))</f>
        <v>4</v>
      </c>
      <c r="M48" s="50" t="n">
        <f aca="false">IF($A48&lt;16,0,IF($A48&lt;40,1,2))</f>
        <v>2</v>
      </c>
      <c r="N48" s="50" t="n">
        <f aca="false">IF($A48&lt;20,0,MIN(4,1+INT(($A48-20)/12)))</f>
        <v>2</v>
      </c>
      <c r="O48" s="50" t="n">
        <f aca="false">IF($A48&lt;22,0,MIN(3,1+INT(($A48-22)/15)))</f>
        <v>2</v>
      </c>
      <c r="P48" s="50" t="n">
        <f aca="false">IF($A48&lt;28,0,IF($A48&lt;50,1,2))</f>
        <v>1</v>
      </c>
      <c r="Q48" s="50" t="n">
        <f aca="false">1+IF($A48&gt;=34,1,0)+IF($A48&gt;=60,1,0)+MAX(0,INT(($A48-60)/30))</f>
        <v>2</v>
      </c>
      <c r="R48" s="50" t="n">
        <f aca="false">40+2*MAX(0,$A48-10)</f>
        <v>106</v>
      </c>
      <c r="S48" s="50" t="n">
        <f aca="false">60+2*MAX(0,$A48-10)</f>
        <v>126</v>
      </c>
      <c r="T48" s="50" t="n">
        <f aca="false">40+5.5*$A48</f>
        <v>276.5</v>
      </c>
    </row>
    <row r="49" customFormat="false" ht="15" hidden="false" customHeight="true" outlineLevel="0" collapsed="false">
      <c r="A49" s="24" t="n">
        <v>44</v>
      </c>
      <c r="B49" s="53" t="n">
        <f aca="false">1+MIN(0.5,$A49*0.02)+0.01*MAX(MIN($A49,55)-25,0)+0.004*MAX(0,$A49-55)</f>
        <v>1.69</v>
      </c>
      <c r="C49" s="54" t="n">
        <f aca="false">IF($A49&gt;=12,1,0)+IF($A49&gt;=18,1,0)+IF($A49&gt;18,INT(($A49-18)/5),0)</f>
        <v>7</v>
      </c>
      <c r="D49" s="54" t="n">
        <f aca="false">IF($A49&gt;=26,1,0)+IF($A49&gt;=38,1,0)+IF($A49&gt;38,INT(($A49-38)/12),0)</f>
        <v>2</v>
      </c>
      <c r="E49" s="54" t="n">
        <f aca="false">IF($A49&gt;=25,1,0)+IF($A49&gt;=50,1,0)+MAX(0,INT(($A49-50)/25))</f>
        <v>1</v>
      </c>
      <c r="F49" s="54" t="n">
        <f aca="false">IF($A49&gt;=60,1,0)+MAX(0,INT(($A49-60)/30))</f>
        <v>0</v>
      </c>
      <c r="G49" s="55" t="n">
        <f aca="false">IF($A49&lt;=18,MAX(0.18,0.9-$A49*0.04),0.06+0.12*EXP(-($A49-18)/25))</f>
        <v>0.102414561835054</v>
      </c>
      <c r="H49" s="54" t="n">
        <f aca="false">IF($A49&lt;36,1,IF($A49&lt;60,2,3))</f>
        <v>2</v>
      </c>
      <c r="I49" s="56" t="n">
        <f aca="false">IF($A49&lt;6,0,0.14+0.55*(1-EXP(-($A49-6)/22)))</f>
        <v>0.592227284944524</v>
      </c>
      <c r="J49" s="56" t="n">
        <f aca="false">IF($A49&lt;18,0,0.35*(1-EXP(-($A49-17)/30)))</f>
        <v>0.20770061909079</v>
      </c>
      <c r="K49" s="53" t="n">
        <f aca="false">IF($A49&lt;=15,1,1+(1-EXP(-($A49-15)/15)))</f>
        <v>1.85533482336101</v>
      </c>
      <c r="L49" s="54" t="n">
        <f aca="false">IF($A49&lt;14,0,MIN(8,1+INT(($A49-14)/9)))</f>
        <v>4</v>
      </c>
      <c r="M49" s="54" t="n">
        <f aca="false">IF($A49&lt;16,0,IF($A49&lt;40,1,2))</f>
        <v>2</v>
      </c>
      <c r="N49" s="54" t="n">
        <f aca="false">IF($A49&lt;20,0,MIN(4,1+INT(($A49-20)/12)))</f>
        <v>3</v>
      </c>
      <c r="O49" s="54" t="n">
        <f aca="false">IF($A49&lt;22,0,MIN(3,1+INT(($A49-22)/15)))</f>
        <v>2</v>
      </c>
      <c r="P49" s="54" t="n">
        <f aca="false">IF($A49&lt;28,0,IF($A49&lt;50,1,2))</f>
        <v>1</v>
      </c>
      <c r="Q49" s="54" t="n">
        <f aca="false">1+IF($A49&gt;=34,1,0)+IF($A49&gt;=60,1,0)+MAX(0,INT(($A49-60)/30))</f>
        <v>2</v>
      </c>
      <c r="R49" s="54" t="n">
        <f aca="false">40+2*MAX(0,$A49-10)</f>
        <v>108</v>
      </c>
      <c r="S49" s="54" t="n">
        <f aca="false">60+2*MAX(0,$A49-10)</f>
        <v>128</v>
      </c>
      <c r="T49" s="54" t="n">
        <f aca="false">40+5.5*$A49</f>
        <v>282</v>
      </c>
    </row>
    <row r="50" customFormat="false" ht="15" hidden="false" customHeight="true" outlineLevel="0" collapsed="false">
      <c r="A50" s="16" t="n">
        <v>45</v>
      </c>
      <c r="B50" s="49" t="n">
        <f aca="false">1+MIN(0.5,$A50*0.02)+0.01*MAX(MIN($A50,55)-25,0)+0.004*MAX(0,$A50-55)</f>
        <v>1.7</v>
      </c>
      <c r="C50" s="50" t="n">
        <f aca="false">IF($A50&gt;=12,1,0)+IF($A50&gt;=18,1,0)+IF($A50&gt;18,INT(($A50-18)/5),0)</f>
        <v>7</v>
      </c>
      <c r="D50" s="50" t="n">
        <f aca="false">IF($A50&gt;=26,1,0)+IF($A50&gt;=38,1,0)+IF($A50&gt;38,INT(($A50-38)/12),0)</f>
        <v>2</v>
      </c>
      <c r="E50" s="50" t="n">
        <f aca="false">IF($A50&gt;=25,1,0)+IF($A50&gt;=50,1,0)+MAX(0,INT(($A50-50)/25))</f>
        <v>1</v>
      </c>
      <c r="F50" s="50" t="n">
        <f aca="false">IF($A50&gt;=60,1,0)+MAX(0,INT(($A50-60)/30))</f>
        <v>0</v>
      </c>
      <c r="G50" s="51" t="n">
        <f aca="false">IF($A50&lt;=18,MAX(0.18,0.9-$A50*0.04),0.06+0.12*EXP(-($A50-18)/25))</f>
        <v>0.100751463077393</v>
      </c>
      <c r="H50" s="50" t="n">
        <f aca="false">IF($A50&lt;36,1,IF($A50&lt;60,2,3))</f>
        <v>2</v>
      </c>
      <c r="I50" s="52" t="n">
        <f aca="false">IF($A50&lt;6,0,0.14+0.55*(1-EXP(-($A50-6)/22)))</f>
        <v>0.596572007537396</v>
      </c>
      <c r="J50" s="52" t="n">
        <f aca="false">IF($A50&lt;18,0,0.35*(1-EXP(-($A50-17)/30)))</f>
        <v>0.212365747695991</v>
      </c>
      <c r="K50" s="49" t="n">
        <f aca="false">IF($A50&lt;=15,1,1+(1-EXP(-($A50-15)/15)))</f>
        <v>1.86466471676339</v>
      </c>
      <c r="L50" s="50" t="n">
        <f aca="false">IF($A50&lt;14,0,MIN(8,1+INT(($A50-14)/9)))</f>
        <v>4</v>
      </c>
      <c r="M50" s="50" t="n">
        <f aca="false">IF($A50&lt;16,0,IF($A50&lt;40,1,2))</f>
        <v>2</v>
      </c>
      <c r="N50" s="50" t="n">
        <f aca="false">IF($A50&lt;20,0,MIN(4,1+INT(($A50-20)/12)))</f>
        <v>3</v>
      </c>
      <c r="O50" s="50" t="n">
        <f aca="false">IF($A50&lt;22,0,MIN(3,1+INT(($A50-22)/15)))</f>
        <v>2</v>
      </c>
      <c r="P50" s="50" t="n">
        <f aca="false">IF($A50&lt;28,0,IF($A50&lt;50,1,2))</f>
        <v>1</v>
      </c>
      <c r="Q50" s="50" t="n">
        <f aca="false">1+IF($A50&gt;=34,1,0)+IF($A50&gt;=60,1,0)+MAX(0,INT(($A50-60)/30))</f>
        <v>2</v>
      </c>
      <c r="R50" s="50" t="n">
        <f aca="false">40+2*MAX(0,$A50-10)</f>
        <v>110</v>
      </c>
      <c r="S50" s="50" t="n">
        <f aca="false">60+2*MAX(0,$A50-10)</f>
        <v>130</v>
      </c>
      <c r="T50" s="50" t="n">
        <f aca="false">40+5.5*$A50</f>
        <v>287.5</v>
      </c>
    </row>
    <row r="51" customFormat="false" ht="15" hidden="false" customHeight="true" outlineLevel="0" collapsed="false">
      <c r="A51" s="24" t="n">
        <v>46</v>
      </c>
      <c r="B51" s="53" t="n">
        <f aca="false">1+MIN(0.5,$A51*0.02)+0.01*MAX(MIN($A51,55)-25,0)+0.004*MAX(0,$A51-55)</f>
        <v>1.71</v>
      </c>
      <c r="C51" s="54" t="n">
        <f aca="false">IF($A51&gt;=12,1,0)+IF($A51&gt;=18,1,0)+IF($A51&gt;18,INT(($A51-18)/5),0)</f>
        <v>7</v>
      </c>
      <c r="D51" s="54" t="n">
        <f aca="false">IF($A51&gt;=26,1,0)+IF($A51&gt;=38,1,0)+IF($A51&gt;38,INT(($A51-38)/12),0)</f>
        <v>2</v>
      </c>
      <c r="E51" s="54" t="n">
        <f aca="false">IF($A51&gt;=25,1,0)+IF($A51&gt;=50,1,0)+MAX(0,INT(($A51-50)/25))</f>
        <v>1</v>
      </c>
      <c r="F51" s="54" t="n">
        <f aca="false">IF($A51&gt;=60,1,0)+MAX(0,INT(($A51-60)/30))</f>
        <v>0</v>
      </c>
      <c r="G51" s="55" t="n">
        <f aca="false">IF($A51&lt;=18,MAX(0.18,0.9-$A51*0.04),0.06+0.12*EXP(-($A51-18)/25))</f>
        <v>0.0991535753547647</v>
      </c>
      <c r="H51" s="54" t="n">
        <f aca="false">IF($A51&lt;36,1,IF($A51&lt;60,2,3))</f>
        <v>2</v>
      </c>
      <c r="I51" s="56" t="n">
        <f aca="false">IF($A51&lt;6,0,0.14+0.55*(1-EXP(-($A51-6)/22)))</f>
        <v>0.600723663849984</v>
      </c>
      <c r="J51" s="56" t="n">
        <f aca="false">IF($A51&lt;18,0,0.35*(1-EXP(-($A51-17)/30)))</f>
        <v>0.21687793519376</v>
      </c>
      <c r="K51" s="53" t="n">
        <f aca="false">IF($A51&lt;=15,1,1+(1-EXP(-($A51-15)/15)))</f>
        <v>1.87339289721092</v>
      </c>
      <c r="L51" s="54" t="n">
        <f aca="false">IF($A51&lt;14,0,MIN(8,1+INT(($A51-14)/9)))</f>
        <v>4</v>
      </c>
      <c r="M51" s="54" t="n">
        <f aca="false">IF($A51&lt;16,0,IF($A51&lt;40,1,2))</f>
        <v>2</v>
      </c>
      <c r="N51" s="54" t="n">
        <f aca="false">IF($A51&lt;20,0,MIN(4,1+INT(($A51-20)/12)))</f>
        <v>3</v>
      </c>
      <c r="O51" s="54" t="n">
        <f aca="false">IF($A51&lt;22,0,MIN(3,1+INT(($A51-22)/15)))</f>
        <v>2</v>
      </c>
      <c r="P51" s="54" t="n">
        <f aca="false">IF($A51&lt;28,0,IF($A51&lt;50,1,2))</f>
        <v>1</v>
      </c>
      <c r="Q51" s="54" t="n">
        <f aca="false">1+IF($A51&gt;=34,1,0)+IF($A51&gt;=60,1,0)+MAX(0,INT(($A51-60)/30))</f>
        <v>2</v>
      </c>
      <c r="R51" s="54" t="n">
        <f aca="false">40+2*MAX(0,$A51-10)</f>
        <v>112</v>
      </c>
      <c r="S51" s="54" t="n">
        <f aca="false">60+2*MAX(0,$A51-10)</f>
        <v>132</v>
      </c>
      <c r="T51" s="54" t="n">
        <f aca="false">40+5.5*$A51</f>
        <v>293</v>
      </c>
    </row>
    <row r="52" customFormat="false" ht="15" hidden="false" customHeight="true" outlineLevel="0" collapsed="false">
      <c r="A52" s="16" t="n">
        <v>47</v>
      </c>
      <c r="B52" s="49" t="n">
        <f aca="false">1+MIN(0.5,$A52*0.02)+0.01*MAX(MIN($A52,55)-25,0)+0.004*MAX(0,$A52-55)</f>
        <v>1.72</v>
      </c>
      <c r="C52" s="50" t="n">
        <f aca="false">IF($A52&gt;=12,1,0)+IF($A52&gt;=18,1,0)+IF($A52&gt;18,INT(($A52-18)/5),0)</f>
        <v>7</v>
      </c>
      <c r="D52" s="50" t="n">
        <f aca="false">IF($A52&gt;=26,1,0)+IF($A52&gt;=38,1,0)+IF($A52&gt;38,INT(($A52-38)/12),0)</f>
        <v>2</v>
      </c>
      <c r="E52" s="50" t="n">
        <f aca="false">IF($A52&gt;=25,1,0)+IF($A52&gt;=50,1,0)+MAX(0,INT(($A52-50)/25))</f>
        <v>1</v>
      </c>
      <c r="F52" s="50" t="n">
        <f aca="false">IF($A52&gt;=60,1,0)+MAX(0,INT(($A52-60)/30))</f>
        <v>0</v>
      </c>
      <c r="G52" s="51" t="n">
        <f aca="false">IF($A52&lt;=18,MAX(0.18,0.9-$A52*0.04),0.06+0.12*EXP(-($A52-18)/25))</f>
        <v>0.0976183417059126</v>
      </c>
      <c r="H52" s="50" t="n">
        <f aca="false">IF($A52&lt;36,1,IF($A52&lt;60,2,3))</f>
        <v>2</v>
      </c>
      <c r="I52" s="52" t="n">
        <f aca="false">IF($A52&lt;6,0,0.14+0.55*(1-EXP(-($A52-6)/22)))</f>
        <v>0.604690833161582</v>
      </c>
      <c r="J52" s="52" t="n">
        <f aca="false">IF($A52&lt;18,0,0.35*(1-EXP(-($A52-17)/30)))</f>
        <v>0.221242195589995</v>
      </c>
      <c r="K52" s="49" t="n">
        <f aca="false">IF($A52&lt;=15,1,1+(1-EXP(-($A52-15)/15)))</f>
        <v>1.8815581709862</v>
      </c>
      <c r="L52" s="50" t="n">
        <f aca="false">IF($A52&lt;14,0,MIN(8,1+INT(($A52-14)/9)))</f>
        <v>4</v>
      </c>
      <c r="M52" s="50" t="n">
        <f aca="false">IF($A52&lt;16,0,IF($A52&lt;40,1,2))</f>
        <v>2</v>
      </c>
      <c r="N52" s="50" t="n">
        <f aca="false">IF($A52&lt;20,0,MIN(4,1+INT(($A52-20)/12)))</f>
        <v>3</v>
      </c>
      <c r="O52" s="50" t="n">
        <f aca="false">IF($A52&lt;22,0,MIN(3,1+INT(($A52-22)/15)))</f>
        <v>2</v>
      </c>
      <c r="P52" s="50" t="n">
        <f aca="false">IF($A52&lt;28,0,IF($A52&lt;50,1,2))</f>
        <v>1</v>
      </c>
      <c r="Q52" s="50" t="n">
        <f aca="false">1+IF($A52&gt;=34,1,0)+IF($A52&gt;=60,1,0)+MAX(0,INT(($A52-60)/30))</f>
        <v>2</v>
      </c>
      <c r="R52" s="50" t="n">
        <f aca="false">40+2*MAX(0,$A52-10)</f>
        <v>114</v>
      </c>
      <c r="S52" s="50" t="n">
        <f aca="false">60+2*MAX(0,$A52-10)</f>
        <v>134</v>
      </c>
      <c r="T52" s="50" t="n">
        <f aca="false">40+5.5*$A52</f>
        <v>298.5</v>
      </c>
    </row>
    <row r="53" customFormat="false" ht="15" hidden="false" customHeight="true" outlineLevel="0" collapsed="false">
      <c r="A53" s="24" t="n">
        <v>48</v>
      </c>
      <c r="B53" s="53" t="n">
        <f aca="false">1+MIN(0.5,$A53*0.02)+0.01*MAX(MIN($A53,55)-25,0)+0.004*MAX(0,$A53-55)</f>
        <v>1.73</v>
      </c>
      <c r="C53" s="54" t="n">
        <f aca="false">IF($A53&gt;=12,1,0)+IF($A53&gt;=18,1,0)+IF($A53&gt;18,INT(($A53-18)/5),0)</f>
        <v>8</v>
      </c>
      <c r="D53" s="54" t="n">
        <f aca="false">IF($A53&gt;=26,1,0)+IF($A53&gt;=38,1,0)+IF($A53&gt;38,INT(($A53-38)/12),0)</f>
        <v>2</v>
      </c>
      <c r="E53" s="54" t="n">
        <f aca="false">IF($A53&gt;=25,1,0)+IF($A53&gt;=50,1,0)+MAX(0,INT(($A53-50)/25))</f>
        <v>1</v>
      </c>
      <c r="F53" s="54" t="n">
        <f aca="false">IF($A53&gt;=60,1,0)+MAX(0,INT(($A53-60)/30))</f>
        <v>0</v>
      </c>
      <c r="G53" s="55" t="n">
        <f aca="false">IF($A53&lt;=18,MAX(0.18,0.9-$A53*0.04),0.06+0.12*EXP(-($A53-18)/25))</f>
        <v>0.0961433054294643</v>
      </c>
      <c r="H53" s="54" t="n">
        <f aca="false">IF($A53&lt;36,1,IF($A53&lt;60,2,3))</f>
        <v>2</v>
      </c>
      <c r="I53" s="56" t="n">
        <f aca="false">IF($A53&lt;6,0,0.14+0.55*(1-EXP(-($A53-6)/22)))</f>
        <v>0.608481713514364</v>
      </c>
      <c r="J53" s="56" t="n">
        <f aca="false">IF($A53&lt;18,0,0.35*(1-EXP(-($A53-17)/30)))</f>
        <v>0.22546337851193</v>
      </c>
      <c r="K53" s="53" t="n">
        <f aca="false">IF($A53&lt;=15,1,1+(1-EXP(-($A53-15)/15)))</f>
        <v>1.88919684163767</v>
      </c>
      <c r="L53" s="54" t="n">
        <f aca="false">IF($A53&lt;14,0,MIN(8,1+INT(($A53-14)/9)))</f>
        <v>4</v>
      </c>
      <c r="M53" s="54" t="n">
        <f aca="false">IF($A53&lt;16,0,IF($A53&lt;40,1,2))</f>
        <v>2</v>
      </c>
      <c r="N53" s="54" t="n">
        <f aca="false">IF($A53&lt;20,0,MIN(4,1+INT(($A53-20)/12)))</f>
        <v>3</v>
      </c>
      <c r="O53" s="54" t="n">
        <f aca="false">IF($A53&lt;22,0,MIN(3,1+INT(($A53-22)/15)))</f>
        <v>2</v>
      </c>
      <c r="P53" s="54" t="n">
        <f aca="false">IF($A53&lt;28,0,IF($A53&lt;50,1,2))</f>
        <v>1</v>
      </c>
      <c r="Q53" s="54" t="n">
        <f aca="false">1+IF($A53&gt;=34,1,0)+IF($A53&gt;=60,1,0)+MAX(0,INT(($A53-60)/30))</f>
        <v>2</v>
      </c>
      <c r="R53" s="54" t="n">
        <f aca="false">40+2*MAX(0,$A53-10)</f>
        <v>116</v>
      </c>
      <c r="S53" s="54" t="n">
        <f aca="false">60+2*MAX(0,$A53-10)</f>
        <v>136</v>
      </c>
      <c r="T53" s="54" t="n">
        <f aca="false">40+5.5*$A53</f>
        <v>304</v>
      </c>
    </row>
    <row r="54" customFormat="false" ht="15" hidden="false" customHeight="true" outlineLevel="0" collapsed="false">
      <c r="A54" s="16" t="n">
        <v>49</v>
      </c>
      <c r="B54" s="49" t="n">
        <f aca="false">1+MIN(0.5,$A54*0.02)+0.01*MAX(MIN($A54,55)-25,0)+0.004*MAX(0,$A54-55)</f>
        <v>1.74</v>
      </c>
      <c r="C54" s="50" t="n">
        <f aca="false">IF($A54&gt;=12,1,0)+IF($A54&gt;=18,1,0)+IF($A54&gt;18,INT(($A54-18)/5),0)</f>
        <v>8</v>
      </c>
      <c r="D54" s="50" t="n">
        <f aca="false">IF($A54&gt;=26,1,0)+IF($A54&gt;=38,1,0)+IF($A54&gt;38,INT(($A54-38)/12),0)</f>
        <v>2</v>
      </c>
      <c r="E54" s="50" t="n">
        <f aca="false">IF($A54&gt;=25,1,0)+IF($A54&gt;=50,1,0)+MAX(0,INT(($A54-50)/25))</f>
        <v>1</v>
      </c>
      <c r="F54" s="50" t="n">
        <f aca="false">IF($A54&gt;=60,1,0)+MAX(0,INT(($A54-60)/30))</f>
        <v>0</v>
      </c>
      <c r="G54" s="51" t="n">
        <f aca="false">IF($A54&lt;=18,MAX(0.18,0.9-$A54*0.04),0.06+0.12*EXP(-($A54-18)/25))</f>
        <v>0.0947261061526861</v>
      </c>
      <c r="H54" s="50" t="n">
        <f aca="false">IF($A54&lt;36,1,IF($A54&lt;60,2,3))</f>
        <v>2</v>
      </c>
      <c r="I54" s="52" t="n">
        <f aca="false">IF($A54&lt;6,0,0.14+0.55*(1-EXP(-($A54-6)/22)))</f>
        <v>0.612104138654398</v>
      </c>
      <c r="J54" s="52" t="n">
        <f aca="false">IF($A54&lt;18,0,0.35*(1-EXP(-($A54-17)/30)))</f>
        <v>0.229546174597106</v>
      </c>
      <c r="K54" s="49" t="n">
        <f aca="false">IF($A54&lt;=15,1,1+(1-EXP(-($A54-15)/15)))</f>
        <v>1.89634287138847</v>
      </c>
      <c r="L54" s="50" t="n">
        <f aca="false">IF($A54&lt;14,0,MIN(8,1+INT(($A54-14)/9)))</f>
        <v>4</v>
      </c>
      <c r="M54" s="50" t="n">
        <f aca="false">IF($A54&lt;16,0,IF($A54&lt;40,1,2))</f>
        <v>2</v>
      </c>
      <c r="N54" s="50" t="n">
        <f aca="false">IF($A54&lt;20,0,MIN(4,1+INT(($A54-20)/12)))</f>
        <v>3</v>
      </c>
      <c r="O54" s="50" t="n">
        <f aca="false">IF($A54&lt;22,0,MIN(3,1+INT(($A54-22)/15)))</f>
        <v>2</v>
      </c>
      <c r="P54" s="50" t="n">
        <f aca="false">IF($A54&lt;28,0,IF($A54&lt;50,1,2))</f>
        <v>1</v>
      </c>
      <c r="Q54" s="50" t="n">
        <f aca="false">1+IF($A54&gt;=34,1,0)+IF($A54&gt;=60,1,0)+MAX(0,INT(($A54-60)/30))</f>
        <v>2</v>
      </c>
      <c r="R54" s="50" t="n">
        <f aca="false">40+2*MAX(0,$A54-10)</f>
        <v>118</v>
      </c>
      <c r="S54" s="50" t="n">
        <f aca="false">60+2*MAX(0,$A54-10)</f>
        <v>138</v>
      </c>
      <c r="T54" s="50" t="n">
        <f aca="false">40+5.5*$A54</f>
        <v>309.5</v>
      </c>
    </row>
    <row r="55" customFormat="false" ht="15" hidden="false" customHeight="true" outlineLevel="0" collapsed="false">
      <c r="A55" s="24" t="n">
        <v>50</v>
      </c>
      <c r="B55" s="53" t="n">
        <f aca="false">1+MIN(0.5,$A55*0.02)+0.01*MAX(MIN($A55,55)-25,0)+0.004*MAX(0,$A55-55)</f>
        <v>1.75</v>
      </c>
      <c r="C55" s="54" t="n">
        <f aca="false">IF($A55&gt;=12,1,0)+IF($A55&gt;=18,1,0)+IF($A55&gt;18,INT(($A55-18)/5),0)</f>
        <v>8</v>
      </c>
      <c r="D55" s="54" t="n">
        <f aca="false">IF($A55&gt;=26,1,0)+IF($A55&gt;=38,1,0)+IF($A55&gt;38,INT(($A55-38)/12),0)</f>
        <v>3</v>
      </c>
      <c r="E55" s="54" t="n">
        <f aca="false">IF($A55&gt;=25,1,0)+IF($A55&gt;=50,1,0)+MAX(0,INT(($A55-50)/25))</f>
        <v>2</v>
      </c>
      <c r="F55" s="54" t="n">
        <f aca="false">IF($A55&gt;=60,1,0)+MAX(0,INT(($A55-60)/30))</f>
        <v>0</v>
      </c>
      <c r="G55" s="55" t="n">
        <f aca="false">IF($A55&lt;=18,MAX(0.18,0.9-$A55*0.04),0.06+0.12*EXP(-($A55-18)/25))</f>
        <v>0.0933644760543833</v>
      </c>
      <c r="H55" s="54" t="n">
        <f aca="false">IF($A55&lt;36,1,IF($A55&lt;60,2,3))</f>
        <v>2</v>
      </c>
      <c r="I55" s="56" t="n">
        <f aca="false">IF($A55&lt;6,0,0.14+0.55*(1-EXP(-($A55-6)/22)))</f>
        <v>0.615565594219863</v>
      </c>
      <c r="J55" s="56" t="n">
        <f aca="false">IF($A55&lt;18,0,0.35*(1-EXP(-($A55-17)/30)))</f>
        <v>0.233495120705672</v>
      </c>
      <c r="K55" s="53" t="n">
        <f aca="false">IF($A55&lt;=15,1,1+(1-EXP(-($A55-15)/15)))</f>
        <v>1.9030280321356</v>
      </c>
      <c r="L55" s="54" t="n">
        <f aca="false">IF($A55&lt;14,0,MIN(8,1+INT(($A55-14)/9)))</f>
        <v>5</v>
      </c>
      <c r="M55" s="54" t="n">
        <f aca="false">IF($A55&lt;16,0,IF($A55&lt;40,1,2))</f>
        <v>2</v>
      </c>
      <c r="N55" s="54" t="n">
        <f aca="false">IF($A55&lt;20,0,MIN(4,1+INT(($A55-20)/12)))</f>
        <v>3</v>
      </c>
      <c r="O55" s="54" t="n">
        <f aca="false">IF($A55&lt;22,0,MIN(3,1+INT(($A55-22)/15)))</f>
        <v>2</v>
      </c>
      <c r="P55" s="54" t="n">
        <f aca="false">IF($A55&lt;28,0,IF($A55&lt;50,1,2))</f>
        <v>2</v>
      </c>
      <c r="Q55" s="54" t="n">
        <f aca="false">1+IF($A55&gt;=34,1,0)+IF($A55&gt;=60,1,0)+MAX(0,INT(($A55-60)/30))</f>
        <v>2</v>
      </c>
      <c r="R55" s="54" t="n">
        <f aca="false">40+2*MAX(0,$A55-10)</f>
        <v>120</v>
      </c>
      <c r="S55" s="54" t="n">
        <f aca="false">60+2*MAX(0,$A55-10)</f>
        <v>140</v>
      </c>
      <c r="T55" s="54" t="n">
        <f aca="false">40+5.5*$A55</f>
        <v>315</v>
      </c>
    </row>
    <row r="56" customFormat="false" ht="15" hidden="false" customHeight="true" outlineLevel="0" collapsed="false">
      <c r="A56" s="16" t="n">
        <v>51</v>
      </c>
      <c r="B56" s="49" t="n">
        <f aca="false">1+MIN(0.5,$A56*0.02)+0.01*MAX(MIN($A56,55)-25,0)+0.004*MAX(0,$A56-55)</f>
        <v>1.76</v>
      </c>
      <c r="C56" s="50" t="n">
        <f aca="false">IF($A56&gt;=12,1,0)+IF($A56&gt;=18,1,0)+IF($A56&gt;18,INT(($A56-18)/5),0)</f>
        <v>8</v>
      </c>
      <c r="D56" s="50" t="n">
        <f aca="false">IF($A56&gt;=26,1,0)+IF($A56&gt;=38,1,0)+IF($A56&gt;38,INT(($A56-38)/12),0)</f>
        <v>3</v>
      </c>
      <c r="E56" s="50" t="n">
        <f aca="false">IF($A56&gt;=25,1,0)+IF($A56&gt;=50,1,0)+MAX(0,INT(($A56-50)/25))</f>
        <v>2</v>
      </c>
      <c r="F56" s="50" t="n">
        <f aca="false">IF($A56&gt;=60,1,0)+MAX(0,INT(($A56-60)/30))</f>
        <v>0</v>
      </c>
      <c r="G56" s="51" t="n">
        <f aca="false">IF($A56&lt;=18,MAX(0.18,0.9-$A56*0.04),0.06+0.12*EXP(-($A56-18)/25))</f>
        <v>0.092056236235902</v>
      </c>
      <c r="H56" s="50" t="n">
        <f aca="false">IF($A56&lt;36,1,IF($A56&lt;60,2,3))</f>
        <v>2</v>
      </c>
      <c r="I56" s="52" t="n">
        <f aca="false">IF($A56&lt;6,0,0.14+0.55*(1-EXP(-($A56-6)/22)))</f>
        <v>0.618873233209907</v>
      </c>
      <c r="J56" s="52" t="n">
        <f aca="false">IF($A56&lt;18,0,0.35*(1-EXP(-($A56-17)/30)))</f>
        <v>0.237314604961813</v>
      </c>
      <c r="K56" s="49" t="n">
        <f aca="false">IF($A56&lt;=15,1,1+(1-EXP(-($A56-15)/15)))</f>
        <v>1.90928204671059</v>
      </c>
      <c r="L56" s="50" t="n">
        <f aca="false">IF($A56&lt;14,0,MIN(8,1+INT(($A56-14)/9)))</f>
        <v>5</v>
      </c>
      <c r="M56" s="50" t="n">
        <f aca="false">IF($A56&lt;16,0,IF($A56&lt;40,1,2))</f>
        <v>2</v>
      </c>
      <c r="N56" s="50" t="n">
        <f aca="false">IF($A56&lt;20,0,MIN(4,1+INT(($A56-20)/12)))</f>
        <v>3</v>
      </c>
      <c r="O56" s="50" t="n">
        <f aca="false">IF($A56&lt;22,0,MIN(3,1+INT(($A56-22)/15)))</f>
        <v>2</v>
      </c>
      <c r="P56" s="50" t="n">
        <f aca="false">IF($A56&lt;28,0,IF($A56&lt;50,1,2))</f>
        <v>2</v>
      </c>
      <c r="Q56" s="50" t="n">
        <f aca="false">1+IF($A56&gt;=34,1,0)+IF($A56&gt;=60,1,0)+MAX(0,INT(($A56-60)/30))</f>
        <v>2</v>
      </c>
      <c r="R56" s="50" t="n">
        <f aca="false">40+2*MAX(0,$A56-10)</f>
        <v>122</v>
      </c>
      <c r="S56" s="50" t="n">
        <f aca="false">60+2*MAX(0,$A56-10)</f>
        <v>142</v>
      </c>
      <c r="T56" s="50" t="n">
        <f aca="false">40+5.5*$A56</f>
        <v>320.5</v>
      </c>
    </row>
    <row r="57" customFormat="false" ht="15" hidden="false" customHeight="true" outlineLevel="0" collapsed="false">
      <c r="A57" s="24" t="n">
        <v>52</v>
      </c>
      <c r="B57" s="53" t="n">
        <f aca="false">1+MIN(0.5,$A57*0.02)+0.01*MAX(MIN($A57,55)-25,0)+0.004*MAX(0,$A57-55)</f>
        <v>1.77</v>
      </c>
      <c r="C57" s="54" t="n">
        <f aca="false">IF($A57&gt;=12,1,0)+IF($A57&gt;=18,1,0)+IF($A57&gt;18,INT(($A57-18)/5),0)</f>
        <v>8</v>
      </c>
      <c r="D57" s="54" t="n">
        <f aca="false">IF($A57&gt;=26,1,0)+IF($A57&gt;=38,1,0)+IF($A57&gt;38,INT(($A57-38)/12),0)</f>
        <v>3</v>
      </c>
      <c r="E57" s="54" t="n">
        <f aca="false">IF($A57&gt;=25,1,0)+IF($A57&gt;=50,1,0)+MAX(0,INT(($A57-50)/25))</f>
        <v>2</v>
      </c>
      <c r="F57" s="54" t="n">
        <f aca="false">IF($A57&gt;=60,1,0)+MAX(0,INT(($A57-60)/30))</f>
        <v>0</v>
      </c>
      <c r="G57" s="55" t="n">
        <f aca="false">IF($A57&lt;=18,MAX(0.18,0.9-$A57*0.04),0.06+0.12*EXP(-($A57-18)/25))</f>
        <v>0.0907992932344267</v>
      </c>
      <c r="H57" s="54" t="n">
        <f aca="false">IF($A57&lt;36,1,IF($A57&lt;60,2,3))</f>
        <v>2</v>
      </c>
      <c r="I57" s="56" t="n">
        <f aca="false">IF($A57&lt;6,0,0.14+0.55*(1-EXP(-($A57-6)/22)))</f>
        <v>0.622033890766112</v>
      </c>
      <c r="J57" s="56" t="n">
        <f aca="false">IF($A57&lt;18,0,0.35*(1-EXP(-($A57-17)/30)))</f>
        <v>0.241008871629891</v>
      </c>
      <c r="K57" s="53" t="n">
        <f aca="false">IF($A57&lt;=15,1,1+(1-EXP(-($A57-15)/15)))</f>
        <v>1.91513272102998</v>
      </c>
      <c r="L57" s="54" t="n">
        <f aca="false">IF($A57&lt;14,0,MIN(8,1+INT(($A57-14)/9)))</f>
        <v>5</v>
      </c>
      <c r="M57" s="54" t="n">
        <f aca="false">IF($A57&lt;16,0,IF($A57&lt;40,1,2))</f>
        <v>2</v>
      </c>
      <c r="N57" s="54" t="n">
        <f aca="false">IF($A57&lt;20,0,MIN(4,1+INT(($A57-20)/12)))</f>
        <v>3</v>
      </c>
      <c r="O57" s="54" t="n">
        <f aca="false">IF($A57&lt;22,0,MIN(3,1+INT(($A57-22)/15)))</f>
        <v>3</v>
      </c>
      <c r="P57" s="54" t="n">
        <f aca="false">IF($A57&lt;28,0,IF($A57&lt;50,1,2))</f>
        <v>2</v>
      </c>
      <c r="Q57" s="54" t="n">
        <f aca="false">1+IF($A57&gt;=34,1,0)+IF($A57&gt;=60,1,0)+MAX(0,INT(($A57-60)/30))</f>
        <v>2</v>
      </c>
      <c r="R57" s="54" t="n">
        <f aca="false">40+2*MAX(0,$A57-10)</f>
        <v>124</v>
      </c>
      <c r="S57" s="54" t="n">
        <f aca="false">60+2*MAX(0,$A57-10)</f>
        <v>144</v>
      </c>
      <c r="T57" s="54" t="n">
        <f aca="false">40+5.5*$A57</f>
        <v>326</v>
      </c>
    </row>
    <row r="58" customFormat="false" ht="15" hidden="false" customHeight="true" outlineLevel="0" collapsed="false">
      <c r="A58" s="16" t="n">
        <v>53</v>
      </c>
      <c r="B58" s="49" t="n">
        <f aca="false">1+MIN(0.5,$A58*0.02)+0.01*MAX(MIN($A58,55)-25,0)+0.004*MAX(0,$A58-55)</f>
        <v>1.78</v>
      </c>
      <c r="C58" s="50" t="n">
        <f aca="false">IF($A58&gt;=12,1,0)+IF($A58&gt;=18,1,0)+IF($A58&gt;18,INT(($A58-18)/5),0)</f>
        <v>9</v>
      </c>
      <c r="D58" s="50" t="n">
        <f aca="false">IF($A58&gt;=26,1,0)+IF($A58&gt;=38,1,0)+IF($A58&gt;38,INT(($A58-38)/12),0)</f>
        <v>3</v>
      </c>
      <c r="E58" s="50" t="n">
        <f aca="false">IF($A58&gt;=25,1,0)+IF($A58&gt;=50,1,0)+MAX(0,INT(($A58-50)/25))</f>
        <v>2</v>
      </c>
      <c r="F58" s="50" t="n">
        <f aca="false">IF($A58&gt;=60,1,0)+MAX(0,INT(($A58-60)/30))</f>
        <v>0</v>
      </c>
      <c r="G58" s="51" t="n">
        <f aca="false">IF($A58&lt;=18,MAX(0.18,0.9-$A58*0.04),0.06+0.12*EXP(-($A58-18)/25))</f>
        <v>0.0895916356729928</v>
      </c>
      <c r="H58" s="50" t="n">
        <f aca="false">IF($A58&lt;36,1,IF($A58&lt;60,2,3))</f>
        <v>2</v>
      </c>
      <c r="I58" s="52" t="n">
        <f aca="false">IF($A58&lt;6,0,0.14+0.55*(1-EXP(-($A58-6)/22)))</f>
        <v>0.625054098297124</v>
      </c>
      <c r="J58" s="52" t="n">
        <f aca="false">IF($A58&lt;18,0,0.35*(1-EXP(-($A58-17)/30)))</f>
        <v>0.244582025830729</v>
      </c>
      <c r="K58" s="49" t="n">
        <f aca="false">IF($A58&lt;=15,1,1+(1-EXP(-($A58-15)/15)))</f>
        <v>1.92060606772292</v>
      </c>
      <c r="L58" s="50" t="n">
        <f aca="false">IF($A58&lt;14,0,MIN(8,1+INT(($A58-14)/9)))</f>
        <v>5</v>
      </c>
      <c r="M58" s="50" t="n">
        <f aca="false">IF($A58&lt;16,0,IF($A58&lt;40,1,2))</f>
        <v>2</v>
      </c>
      <c r="N58" s="50" t="n">
        <f aca="false">IF($A58&lt;20,0,MIN(4,1+INT(($A58-20)/12)))</f>
        <v>3</v>
      </c>
      <c r="O58" s="50" t="n">
        <f aca="false">IF($A58&lt;22,0,MIN(3,1+INT(($A58-22)/15)))</f>
        <v>3</v>
      </c>
      <c r="P58" s="50" t="n">
        <f aca="false">IF($A58&lt;28,0,IF($A58&lt;50,1,2))</f>
        <v>2</v>
      </c>
      <c r="Q58" s="50" t="n">
        <f aca="false">1+IF($A58&gt;=34,1,0)+IF($A58&gt;=60,1,0)+MAX(0,INT(($A58-60)/30))</f>
        <v>2</v>
      </c>
      <c r="R58" s="50" t="n">
        <f aca="false">40+2*MAX(0,$A58-10)</f>
        <v>126</v>
      </c>
      <c r="S58" s="50" t="n">
        <f aca="false">60+2*MAX(0,$A58-10)</f>
        <v>146</v>
      </c>
      <c r="T58" s="50" t="n">
        <f aca="false">40+5.5*$A58</f>
        <v>331.5</v>
      </c>
    </row>
    <row r="59" customFormat="false" ht="15" hidden="false" customHeight="true" outlineLevel="0" collapsed="false">
      <c r="A59" s="24" t="n">
        <v>54</v>
      </c>
      <c r="B59" s="53" t="n">
        <f aca="false">1+MIN(0.5,$A59*0.02)+0.01*MAX(MIN($A59,55)-25,0)+0.004*MAX(0,$A59-55)</f>
        <v>1.79</v>
      </c>
      <c r="C59" s="54" t="n">
        <f aca="false">IF($A59&gt;=12,1,0)+IF($A59&gt;=18,1,0)+IF($A59&gt;18,INT(($A59-18)/5),0)</f>
        <v>9</v>
      </c>
      <c r="D59" s="54" t="n">
        <f aca="false">IF($A59&gt;=26,1,0)+IF($A59&gt;=38,1,0)+IF($A59&gt;38,INT(($A59-38)/12),0)</f>
        <v>3</v>
      </c>
      <c r="E59" s="54" t="n">
        <f aca="false">IF($A59&gt;=25,1,0)+IF($A59&gt;=50,1,0)+MAX(0,INT(($A59-50)/25))</f>
        <v>2</v>
      </c>
      <c r="F59" s="54" t="n">
        <f aca="false">IF($A59&gt;=60,1,0)+MAX(0,INT(($A59-60)/30))</f>
        <v>0</v>
      </c>
      <c r="G59" s="55" t="n">
        <f aca="false">IF($A59&lt;=18,MAX(0.18,0.9-$A59*0.04),0.06+0.12*EXP(-($A59-18)/25))</f>
        <v>0.0884313310418546</v>
      </c>
      <c r="H59" s="54" t="n">
        <f aca="false">IF($A59&lt;36,1,IF($A59&lt;60,2,3))</f>
        <v>2</v>
      </c>
      <c r="I59" s="56" t="n">
        <f aca="false">IF($A59&lt;6,0,0.14+0.55*(1-EXP(-($A59-6)/22)))</f>
        <v>0.627940096975619</v>
      </c>
      <c r="J59" s="56" t="n">
        <f aca="false">IF($A59&lt;18,0,0.35*(1-EXP(-($A59-17)/30)))</f>
        <v>0.248038038103285</v>
      </c>
      <c r="K59" s="53" t="n">
        <f aca="false">IF($A59&lt;=15,1,1+(1-EXP(-($A59-15)/15)))</f>
        <v>1.92572642178567</v>
      </c>
      <c r="L59" s="54" t="n">
        <f aca="false">IF($A59&lt;14,0,MIN(8,1+INT(($A59-14)/9)))</f>
        <v>5</v>
      </c>
      <c r="M59" s="54" t="n">
        <f aca="false">IF($A59&lt;16,0,IF($A59&lt;40,1,2))</f>
        <v>2</v>
      </c>
      <c r="N59" s="54" t="n">
        <f aca="false">IF($A59&lt;20,0,MIN(4,1+INT(($A59-20)/12)))</f>
        <v>3</v>
      </c>
      <c r="O59" s="54" t="n">
        <f aca="false">IF($A59&lt;22,0,MIN(3,1+INT(($A59-22)/15)))</f>
        <v>3</v>
      </c>
      <c r="P59" s="54" t="n">
        <f aca="false">IF($A59&lt;28,0,IF($A59&lt;50,1,2))</f>
        <v>2</v>
      </c>
      <c r="Q59" s="54" t="n">
        <f aca="false">1+IF($A59&gt;=34,1,0)+IF($A59&gt;=60,1,0)+MAX(0,INT(($A59-60)/30))</f>
        <v>2</v>
      </c>
      <c r="R59" s="54" t="n">
        <f aca="false">40+2*MAX(0,$A59-10)</f>
        <v>128</v>
      </c>
      <c r="S59" s="54" t="n">
        <f aca="false">60+2*MAX(0,$A59-10)</f>
        <v>148</v>
      </c>
      <c r="T59" s="54" t="n">
        <f aca="false">40+5.5*$A59</f>
        <v>337</v>
      </c>
    </row>
    <row r="60" customFormat="false" ht="15" hidden="false" customHeight="true" outlineLevel="0" collapsed="false">
      <c r="A60" s="16" t="n">
        <v>55</v>
      </c>
      <c r="B60" s="49" t="n">
        <f aca="false">1+MIN(0.5,$A60*0.02)+0.01*MAX(MIN($A60,55)-25,0)+0.004*MAX(0,$A60-55)</f>
        <v>1.8</v>
      </c>
      <c r="C60" s="50" t="n">
        <f aca="false">IF($A60&gt;=12,1,0)+IF($A60&gt;=18,1,0)+IF($A60&gt;18,INT(($A60-18)/5),0)</f>
        <v>9</v>
      </c>
      <c r="D60" s="50" t="n">
        <f aca="false">IF($A60&gt;=26,1,0)+IF($A60&gt;=38,1,0)+IF($A60&gt;38,INT(($A60-38)/12),0)</f>
        <v>3</v>
      </c>
      <c r="E60" s="50" t="n">
        <f aca="false">IF($A60&gt;=25,1,0)+IF($A60&gt;=50,1,0)+MAX(0,INT(($A60-50)/25))</f>
        <v>2</v>
      </c>
      <c r="F60" s="50" t="n">
        <f aca="false">IF($A60&gt;=60,1,0)+MAX(0,INT(($A60-60)/30))</f>
        <v>0</v>
      </c>
      <c r="G60" s="51" t="n">
        <f aca="false">IF($A60&lt;=18,MAX(0.18,0.9-$A60*0.04),0.06+0.12*EXP(-($A60-18)/25))</f>
        <v>0.0873165226060575</v>
      </c>
      <c r="H60" s="50" t="n">
        <f aca="false">IF($A60&lt;36,1,IF($A60&lt;60,2,3))</f>
        <v>2</v>
      </c>
      <c r="I60" s="52" t="n">
        <f aca="false">IF($A60&lt;6,0,0.14+0.55*(1-EXP(-($A60-6)/22)))</f>
        <v>0.630697850635507</v>
      </c>
      <c r="J60" s="52" t="n">
        <f aca="false">IF($A60&lt;18,0,0.35*(1-EXP(-($A60-17)/30)))</f>
        <v>0.251380748816765</v>
      </c>
      <c r="K60" s="49" t="n">
        <f aca="false">IF($A60&lt;=15,1,1+(1-EXP(-($A60-15)/15)))</f>
        <v>1.9305165487772</v>
      </c>
      <c r="L60" s="50" t="n">
        <f aca="false">IF($A60&lt;14,0,MIN(8,1+INT(($A60-14)/9)))</f>
        <v>5</v>
      </c>
      <c r="M60" s="50" t="n">
        <f aca="false">IF($A60&lt;16,0,IF($A60&lt;40,1,2))</f>
        <v>2</v>
      </c>
      <c r="N60" s="50" t="n">
        <f aca="false">IF($A60&lt;20,0,MIN(4,1+INT(($A60-20)/12)))</f>
        <v>3</v>
      </c>
      <c r="O60" s="50" t="n">
        <f aca="false">IF($A60&lt;22,0,MIN(3,1+INT(($A60-22)/15)))</f>
        <v>3</v>
      </c>
      <c r="P60" s="50" t="n">
        <f aca="false">IF($A60&lt;28,0,IF($A60&lt;50,1,2))</f>
        <v>2</v>
      </c>
      <c r="Q60" s="50" t="n">
        <f aca="false">1+IF($A60&gt;=34,1,0)+IF($A60&gt;=60,1,0)+MAX(0,INT(($A60-60)/30))</f>
        <v>2</v>
      </c>
      <c r="R60" s="50" t="n">
        <f aca="false">40+2*MAX(0,$A60-10)</f>
        <v>130</v>
      </c>
      <c r="S60" s="50" t="n">
        <f aca="false">60+2*MAX(0,$A60-10)</f>
        <v>150</v>
      </c>
      <c r="T60" s="50" t="n">
        <f aca="false">40+5.5*$A60</f>
        <v>342.5</v>
      </c>
    </row>
    <row r="61" customFormat="false" ht="15" hidden="false" customHeight="true" outlineLevel="0" collapsed="false">
      <c r="A61" s="24" t="n">
        <v>56</v>
      </c>
      <c r="B61" s="53" t="n">
        <f aca="false">1+MIN(0.5,$A61*0.02)+0.01*MAX(MIN($A61,55)-25,0)+0.004*MAX(0,$A61-55)</f>
        <v>1.804</v>
      </c>
      <c r="C61" s="54" t="n">
        <f aca="false">IF($A61&gt;=12,1,0)+IF($A61&gt;=18,1,0)+IF($A61&gt;18,INT(($A61-18)/5),0)</f>
        <v>9</v>
      </c>
      <c r="D61" s="54" t="n">
        <f aca="false">IF($A61&gt;=26,1,0)+IF($A61&gt;=38,1,0)+IF($A61&gt;38,INT(($A61-38)/12),0)</f>
        <v>3</v>
      </c>
      <c r="E61" s="54" t="n">
        <f aca="false">IF($A61&gt;=25,1,0)+IF($A61&gt;=50,1,0)+MAX(0,INT(($A61-50)/25))</f>
        <v>2</v>
      </c>
      <c r="F61" s="54" t="n">
        <f aca="false">IF($A61&gt;=60,1,0)+MAX(0,INT(($A61-60)/30))</f>
        <v>0</v>
      </c>
      <c r="G61" s="55" t="n">
        <f aca="false">IF($A61&lt;=18,MAX(0.18,0.9-$A61*0.04),0.06+0.12*EXP(-($A61-18)/25))</f>
        <v>0.0862454264342658</v>
      </c>
      <c r="H61" s="54" t="n">
        <f aca="false">IF($A61&lt;36,1,IF($A61&lt;60,2,3))</f>
        <v>2</v>
      </c>
      <c r="I61" s="56" t="n">
        <f aca="false">IF($A61&lt;6,0,0.14+0.55*(1-EXP(-($A61-6)/22)))</f>
        <v>0.63333305809603</v>
      </c>
      <c r="J61" s="56" t="n">
        <f aca="false">IF($A61&lt;18,0,0.35*(1-EXP(-($A61-17)/30)))</f>
        <v>0.254613872438096</v>
      </c>
      <c r="K61" s="53" t="n">
        <f aca="false">IF($A61&lt;=15,1,1+(1-EXP(-($A61-15)/15)))</f>
        <v>1.93499774603697</v>
      </c>
      <c r="L61" s="54" t="n">
        <f aca="false">IF($A61&lt;14,0,MIN(8,1+INT(($A61-14)/9)))</f>
        <v>5</v>
      </c>
      <c r="M61" s="54" t="n">
        <f aca="false">IF($A61&lt;16,0,IF($A61&lt;40,1,2))</f>
        <v>2</v>
      </c>
      <c r="N61" s="54" t="n">
        <f aca="false">IF($A61&lt;20,0,MIN(4,1+INT(($A61-20)/12)))</f>
        <v>4</v>
      </c>
      <c r="O61" s="54" t="n">
        <f aca="false">IF($A61&lt;22,0,MIN(3,1+INT(($A61-22)/15)))</f>
        <v>3</v>
      </c>
      <c r="P61" s="54" t="n">
        <f aca="false">IF($A61&lt;28,0,IF($A61&lt;50,1,2))</f>
        <v>2</v>
      </c>
      <c r="Q61" s="54" t="n">
        <f aca="false">1+IF($A61&gt;=34,1,0)+IF($A61&gt;=60,1,0)+MAX(0,INT(($A61-60)/30))</f>
        <v>2</v>
      </c>
      <c r="R61" s="54" t="n">
        <f aca="false">40+2*MAX(0,$A61-10)</f>
        <v>132</v>
      </c>
      <c r="S61" s="54" t="n">
        <f aca="false">60+2*MAX(0,$A61-10)</f>
        <v>152</v>
      </c>
      <c r="T61" s="54" t="n">
        <f aca="false">40+5.5*$A61</f>
        <v>348</v>
      </c>
    </row>
    <row r="62" customFormat="false" ht="15" hidden="false" customHeight="true" outlineLevel="0" collapsed="false">
      <c r="A62" s="16" t="n">
        <v>57</v>
      </c>
      <c r="B62" s="49" t="n">
        <f aca="false">1+MIN(0.5,$A62*0.02)+0.01*MAX(MIN($A62,55)-25,0)+0.004*MAX(0,$A62-55)</f>
        <v>1.808</v>
      </c>
      <c r="C62" s="50" t="n">
        <f aca="false">IF($A62&gt;=12,1,0)+IF($A62&gt;=18,1,0)+IF($A62&gt;18,INT(($A62-18)/5),0)</f>
        <v>9</v>
      </c>
      <c r="D62" s="50" t="n">
        <f aca="false">IF($A62&gt;=26,1,0)+IF($A62&gt;=38,1,0)+IF($A62&gt;38,INT(($A62-38)/12),0)</f>
        <v>3</v>
      </c>
      <c r="E62" s="50" t="n">
        <f aca="false">IF($A62&gt;=25,1,0)+IF($A62&gt;=50,1,0)+MAX(0,INT(($A62-50)/25))</f>
        <v>2</v>
      </c>
      <c r="F62" s="50" t="n">
        <f aca="false">IF($A62&gt;=60,1,0)+MAX(0,INT(($A62-60)/30))</f>
        <v>0</v>
      </c>
      <c r="G62" s="51" t="n">
        <f aca="false">IF($A62&lt;=18,MAX(0.18,0.9-$A62*0.04),0.06+0.12*EXP(-($A62-18)/25))</f>
        <v>0.0852163285440918</v>
      </c>
      <c r="H62" s="50" t="n">
        <f aca="false">IF($A62&lt;36,1,IF($A62&lt;60,2,3))</f>
        <v>2</v>
      </c>
      <c r="I62" s="52" t="n">
        <f aca="false">IF($A62&lt;6,0,0.14+0.55*(1-EXP(-($A62-6)/22)))</f>
        <v>0.635851164938204</v>
      </c>
      <c r="J62" s="52" t="n">
        <f aca="false">IF($A62&lt;18,0,0.35*(1-EXP(-($A62-17)/30)))</f>
        <v>0.257741001659496</v>
      </c>
      <c r="K62" s="49" t="n">
        <f aca="false">IF($A62&lt;=15,1,1+(1-EXP(-($A62-15)/15)))</f>
        <v>1.93918993737478</v>
      </c>
      <c r="L62" s="50" t="n">
        <f aca="false">IF($A62&lt;14,0,MIN(8,1+INT(($A62-14)/9)))</f>
        <v>5</v>
      </c>
      <c r="M62" s="50" t="n">
        <f aca="false">IF($A62&lt;16,0,IF($A62&lt;40,1,2))</f>
        <v>2</v>
      </c>
      <c r="N62" s="50" t="n">
        <f aca="false">IF($A62&lt;20,0,MIN(4,1+INT(($A62-20)/12)))</f>
        <v>4</v>
      </c>
      <c r="O62" s="50" t="n">
        <f aca="false">IF($A62&lt;22,0,MIN(3,1+INT(($A62-22)/15)))</f>
        <v>3</v>
      </c>
      <c r="P62" s="50" t="n">
        <f aca="false">IF($A62&lt;28,0,IF($A62&lt;50,1,2))</f>
        <v>2</v>
      </c>
      <c r="Q62" s="50" t="n">
        <f aca="false">1+IF($A62&gt;=34,1,0)+IF($A62&gt;=60,1,0)+MAX(0,INT(($A62-60)/30))</f>
        <v>2</v>
      </c>
      <c r="R62" s="50" t="n">
        <f aca="false">40+2*MAX(0,$A62-10)</f>
        <v>134</v>
      </c>
      <c r="S62" s="50" t="n">
        <f aca="false">60+2*MAX(0,$A62-10)</f>
        <v>154</v>
      </c>
      <c r="T62" s="50" t="n">
        <f aca="false">40+5.5*$A62</f>
        <v>353.5</v>
      </c>
    </row>
    <row r="63" customFormat="false" ht="15" hidden="false" customHeight="true" outlineLevel="0" collapsed="false">
      <c r="A63" s="24" t="n">
        <v>58</v>
      </c>
      <c r="B63" s="53" t="n">
        <f aca="false">1+MIN(0.5,$A63*0.02)+0.01*MAX(MIN($A63,55)-25,0)+0.004*MAX(0,$A63-55)</f>
        <v>1.812</v>
      </c>
      <c r="C63" s="54" t="n">
        <f aca="false">IF($A63&gt;=12,1,0)+IF($A63&gt;=18,1,0)+IF($A63&gt;18,INT(($A63-18)/5),0)</f>
        <v>10</v>
      </c>
      <c r="D63" s="54" t="n">
        <f aca="false">IF($A63&gt;=26,1,0)+IF($A63&gt;=38,1,0)+IF($A63&gt;38,INT(($A63-38)/12),0)</f>
        <v>3</v>
      </c>
      <c r="E63" s="54" t="n">
        <f aca="false">IF($A63&gt;=25,1,0)+IF($A63&gt;=50,1,0)+MAX(0,INT(($A63-50)/25))</f>
        <v>2</v>
      </c>
      <c r="F63" s="54" t="n">
        <f aca="false">IF($A63&gt;=60,1,0)+MAX(0,INT(($A63-60)/30))</f>
        <v>0</v>
      </c>
      <c r="G63" s="55" t="n">
        <f aca="false">IF($A63&lt;=18,MAX(0.18,0.9-$A63*0.04),0.06+0.12*EXP(-($A63-18)/25))</f>
        <v>0.0842275821593587</v>
      </c>
      <c r="H63" s="54" t="n">
        <f aca="false">IF($A63&lt;36,1,IF($A63&lt;60,2,3))</f>
        <v>2</v>
      </c>
      <c r="I63" s="56" t="n">
        <f aca="false">IF($A63&lt;6,0,0.14+0.55*(1-EXP(-($A63-6)/22)))</f>
        <v>0.638257374757959</v>
      </c>
      <c r="J63" s="56" t="n">
        <f aca="false">IF($A63&lt;18,0,0.35*(1-EXP(-($A63-17)/30)))</f>
        <v>0.260765611390722</v>
      </c>
      <c r="K63" s="53" t="n">
        <f aca="false">IF($A63&lt;=15,1,1+(1-EXP(-($A63-15)/15)))</f>
        <v>1.9431117616539</v>
      </c>
      <c r="L63" s="54" t="n">
        <f aca="false">IF($A63&lt;14,0,MIN(8,1+INT(($A63-14)/9)))</f>
        <v>5</v>
      </c>
      <c r="M63" s="54" t="n">
        <f aca="false">IF($A63&lt;16,0,IF($A63&lt;40,1,2))</f>
        <v>2</v>
      </c>
      <c r="N63" s="54" t="n">
        <f aca="false">IF($A63&lt;20,0,MIN(4,1+INT(($A63-20)/12)))</f>
        <v>4</v>
      </c>
      <c r="O63" s="54" t="n">
        <f aca="false">IF($A63&lt;22,0,MIN(3,1+INT(($A63-22)/15)))</f>
        <v>3</v>
      </c>
      <c r="P63" s="54" t="n">
        <f aca="false">IF($A63&lt;28,0,IF($A63&lt;50,1,2))</f>
        <v>2</v>
      </c>
      <c r="Q63" s="54" t="n">
        <f aca="false">1+IF($A63&gt;=34,1,0)+IF($A63&gt;=60,1,0)+MAX(0,INT(($A63-60)/30))</f>
        <v>2</v>
      </c>
      <c r="R63" s="54" t="n">
        <f aca="false">40+2*MAX(0,$A63-10)</f>
        <v>136</v>
      </c>
      <c r="S63" s="54" t="n">
        <f aca="false">60+2*MAX(0,$A63-10)</f>
        <v>156</v>
      </c>
      <c r="T63" s="54" t="n">
        <f aca="false">40+5.5*$A63</f>
        <v>359</v>
      </c>
    </row>
    <row r="64" customFormat="false" ht="15" hidden="false" customHeight="true" outlineLevel="0" collapsed="false">
      <c r="A64" s="16" t="n">
        <v>59</v>
      </c>
      <c r="B64" s="49" t="n">
        <f aca="false">1+MIN(0.5,$A64*0.02)+0.01*MAX(MIN($A64,55)-25,0)+0.004*MAX(0,$A64-55)</f>
        <v>1.816</v>
      </c>
      <c r="C64" s="50" t="n">
        <f aca="false">IF($A64&gt;=12,1,0)+IF($A64&gt;=18,1,0)+IF($A64&gt;18,INT(($A64-18)/5),0)</f>
        <v>10</v>
      </c>
      <c r="D64" s="50" t="n">
        <f aca="false">IF($A64&gt;=26,1,0)+IF($A64&gt;=38,1,0)+IF($A64&gt;38,INT(($A64-38)/12),0)</f>
        <v>3</v>
      </c>
      <c r="E64" s="50" t="n">
        <f aca="false">IF($A64&gt;=25,1,0)+IF($A64&gt;=50,1,0)+MAX(0,INT(($A64-50)/25))</f>
        <v>2</v>
      </c>
      <c r="F64" s="50" t="n">
        <f aca="false">IF($A64&gt;=60,1,0)+MAX(0,INT(($A64-60)/30))</f>
        <v>0</v>
      </c>
      <c r="G64" s="51" t="n">
        <f aca="false">IF($A64&lt;=18,MAX(0.18,0.9-$A64*0.04),0.06+0.12*EXP(-($A64-18)/25))</f>
        <v>0.083277605074907</v>
      </c>
      <c r="H64" s="50" t="n">
        <f aca="false">IF($A64&lt;36,1,IF($A64&lt;60,2,3))</f>
        <v>2</v>
      </c>
      <c r="I64" s="52" t="n">
        <f aca="false">IF($A64&lt;6,0,0.14+0.55*(1-EXP(-($A64-6)/22)))</f>
        <v>0.640556659919224</v>
      </c>
      <c r="J64" s="52" t="n">
        <f aca="false">IF($A64&lt;18,0,0.35*(1-EXP(-($A64-17)/30)))</f>
        <v>0.263691062620438</v>
      </c>
      <c r="K64" s="49" t="n">
        <f aca="false">IF($A64&lt;=15,1,1+(1-EXP(-($A64-15)/15)))</f>
        <v>1.94678065566108</v>
      </c>
      <c r="L64" s="50" t="n">
        <f aca="false">IF($A64&lt;14,0,MIN(8,1+INT(($A64-14)/9)))</f>
        <v>6</v>
      </c>
      <c r="M64" s="50" t="n">
        <f aca="false">IF($A64&lt;16,0,IF($A64&lt;40,1,2))</f>
        <v>2</v>
      </c>
      <c r="N64" s="50" t="n">
        <f aca="false">IF($A64&lt;20,0,MIN(4,1+INT(($A64-20)/12)))</f>
        <v>4</v>
      </c>
      <c r="O64" s="50" t="n">
        <f aca="false">IF($A64&lt;22,0,MIN(3,1+INT(($A64-22)/15)))</f>
        <v>3</v>
      </c>
      <c r="P64" s="50" t="n">
        <f aca="false">IF($A64&lt;28,0,IF($A64&lt;50,1,2))</f>
        <v>2</v>
      </c>
      <c r="Q64" s="50" t="n">
        <f aca="false">1+IF($A64&gt;=34,1,0)+IF($A64&gt;=60,1,0)+MAX(0,INT(($A64-60)/30))</f>
        <v>2</v>
      </c>
      <c r="R64" s="50" t="n">
        <f aca="false">40+2*MAX(0,$A64-10)</f>
        <v>138</v>
      </c>
      <c r="S64" s="50" t="n">
        <f aca="false">60+2*MAX(0,$A64-10)</f>
        <v>158</v>
      </c>
      <c r="T64" s="50" t="n">
        <f aca="false">40+5.5*$A64</f>
        <v>364.5</v>
      </c>
    </row>
    <row r="65" customFormat="false" ht="15" hidden="false" customHeight="true" outlineLevel="0" collapsed="false">
      <c r="A65" s="24" t="n">
        <v>60</v>
      </c>
      <c r="B65" s="53" t="n">
        <f aca="false">1+MIN(0.5,$A65*0.02)+0.01*MAX(MIN($A65,55)-25,0)+0.004*MAX(0,$A65-55)</f>
        <v>1.82</v>
      </c>
      <c r="C65" s="54" t="n">
        <f aca="false">IF($A65&gt;=12,1,0)+IF($A65&gt;=18,1,0)+IF($A65&gt;18,INT(($A65-18)/5),0)</f>
        <v>10</v>
      </c>
      <c r="D65" s="54" t="n">
        <f aca="false">IF($A65&gt;=26,1,0)+IF($A65&gt;=38,1,0)+IF($A65&gt;38,INT(($A65-38)/12),0)</f>
        <v>3</v>
      </c>
      <c r="E65" s="54" t="n">
        <f aca="false">IF($A65&gt;=25,1,0)+IF($A65&gt;=50,1,0)+MAX(0,INT(($A65-50)/25))</f>
        <v>2</v>
      </c>
      <c r="F65" s="54" t="n">
        <f aca="false">IF($A65&gt;=60,1,0)+MAX(0,INT(($A65-60)/30))</f>
        <v>1</v>
      </c>
      <c r="G65" s="55" t="n">
        <f aca="false">IF($A65&lt;=18,MAX(0.18,0.9-$A65*0.04),0.06+0.12*EXP(-($A65-18)/25))</f>
        <v>0.0823648771247292</v>
      </c>
      <c r="H65" s="54" t="n">
        <f aca="false">IF($A65&lt;36,1,IF($A65&lt;60,2,3))</f>
        <v>3</v>
      </c>
      <c r="I65" s="56" t="n">
        <f aca="false">IF($A65&lt;6,0,0.14+0.55*(1-EXP(-($A65-6)/22)))</f>
        <v>0.642753771829168</v>
      </c>
      <c r="J65" s="56" t="n">
        <f aca="false">IF($A65&lt;18,0,0.35*(1-EXP(-($A65-17)/30)))</f>
        <v>0.266520606150994</v>
      </c>
      <c r="K65" s="53" t="n">
        <f aca="false">IF($A65&lt;=15,1,1+(1-EXP(-($A65-15)/15)))</f>
        <v>1.95021293163214</v>
      </c>
      <c r="L65" s="54" t="n">
        <f aca="false">IF($A65&lt;14,0,MIN(8,1+INT(($A65-14)/9)))</f>
        <v>6</v>
      </c>
      <c r="M65" s="54" t="n">
        <f aca="false">IF($A65&lt;16,0,IF($A65&lt;40,1,2))</f>
        <v>2</v>
      </c>
      <c r="N65" s="54" t="n">
        <f aca="false">IF($A65&lt;20,0,MIN(4,1+INT(($A65-20)/12)))</f>
        <v>4</v>
      </c>
      <c r="O65" s="54" t="n">
        <f aca="false">IF($A65&lt;22,0,MIN(3,1+INT(($A65-22)/15)))</f>
        <v>3</v>
      </c>
      <c r="P65" s="54" t="n">
        <f aca="false">IF($A65&lt;28,0,IF($A65&lt;50,1,2))</f>
        <v>2</v>
      </c>
      <c r="Q65" s="54" t="n">
        <f aca="false">1+IF($A65&gt;=34,1,0)+IF($A65&gt;=60,1,0)+MAX(0,INT(($A65-60)/30))</f>
        <v>3</v>
      </c>
      <c r="R65" s="54" t="n">
        <f aca="false">40+2*MAX(0,$A65-10)</f>
        <v>140</v>
      </c>
      <c r="S65" s="54" t="n">
        <f aca="false">60+2*MAX(0,$A65-10)</f>
        <v>160</v>
      </c>
      <c r="T65" s="54" t="n">
        <f aca="false">40+5.5*$A65</f>
        <v>370</v>
      </c>
    </row>
    <row r="66" customFormat="false" ht="15" hidden="false" customHeight="true" outlineLevel="0" collapsed="false">
      <c r="A66" s="16" t="n">
        <v>61</v>
      </c>
      <c r="B66" s="49" t="n">
        <f aca="false">1+MIN(0.5,$A66*0.02)+0.01*MAX(MIN($A66,55)-25,0)+0.004*MAX(0,$A66-55)</f>
        <v>1.824</v>
      </c>
      <c r="C66" s="50" t="n">
        <f aca="false">IF($A66&gt;=12,1,0)+IF($A66&gt;=18,1,0)+IF($A66&gt;18,INT(($A66-18)/5),0)</f>
        <v>10</v>
      </c>
      <c r="D66" s="50" t="n">
        <f aca="false">IF($A66&gt;=26,1,0)+IF($A66&gt;=38,1,0)+IF($A66&gt;38,INT(($A66-38)/12),0)</f>
        <v>3</v>
      </c>
      <c r="E66" s="50" t="n">
        <f aca="false">IF($A66&gt;=25,1,0)+IF($A66&gt;=50,1,0)+MAX(0,INT(($A66-50)/25))</f>
        <v>2</v>
      </c>
      <c r="F66" s="50" t="n">
        <f aca="false">IF($A66&gt;=60,1,0)+MAX(0,INT(($A66-60)/30))</f>
        <v>1</v>
      </c>
      <c r="G66" s="51" t="n">
        <f aca="false">IF($A66&lt;=18,MAX(0.18,0.9-$A66*0.04),0.06+0.12*EXP(-($A66-18)/25))</f>
        <v>0.0814879377493792</v>
      </c>
      <c r="H66" s="50" t="n">
        <f aca="false">IF($A66&lt;36,1,IF($A66&lt;60,2,3))</f>
        <v>3</v>
      </c>
      <c r="I66" s="52" t="n">
        <f aca="false">IF($A66&lt;6,0,0.14+0.55*(1-EXP(-($A66-6)/22)))</f>
        <v>0.644853250756856</v>
      </c>
      <c r="J66" s="52" t="n">
        <f aca="false">IF($A66&lt;18,0,0.35*(1-EXP(-($A66-17)/30)))</f>
        <v>0.269257386210763</v>
      </c>
      <c r="K66" s="49" t="n">
        <f aca="false">IF($A66&lt;=15,1,1+(1-EXP(-($A66-15)/15)))</f>
        <v>1.95342384977762</v>
      </c>
      <c r="L66" s="50" t="n">
        <f aca="false">IF($A66&lt;14,0,MIN(8,1+INT(($A66-14)/9)))</f>
        <v>6</v>
      </c>
      <c r="M66" s="50" t="n">
        <f aca="false">IF($A66&lt;16,0,IF($A66&lt;40,1,2))</f>
        <v>2</v>
      </c>
      <c r="N66" s="50" t="n">
        <f aca="false">IF($A66&lt;20,0,MIN(4,1+INT(($A66-20)/12)))</f>
        <v>4</v>
      </c>
      <c r="O66" s="50" t="n">
        <f aca="false">IF($A66&lt;22,0,MIN(3,1+INT(($A66-22)/15)))</f>
        <v>3</v>
      </c>
      <c r="P66" s="50" t="n">
        <f aca="false">IF($A66&lt;28,0,IF($A66&lt;50,1,2))</f>
        <v>2</v>
      </c>
      <c r="Q66" s="50" t="n">
        <f aca="false">1+IF($A66&gt;=34,1,0)+IF($A66&gt;=60,1,0)+MAX(0,INT(($A66-60)/30))</f>
        <v>3</v>
      </c>
      <c r="R66" s="50" t="n">
        <f aca="false">40+2*MAX(0,$A66-10)</f>
        <v>142</v>
      </c>
      <c r="S66" s="50" t="n">
        <f aca="false">60+2*MAX(0,$A66-10)</f>
        <v>162</v>
      </c>
      <c r="T66" s="50" t="n">
        <f aca="false">40+5.5*$A66</f>
        <v>375.5</v>
      </c>
    </row>
    <row r="67" customFormat="false" ht="15" hidden="false" customHeight="true" outlineLevel="0" collapsed="false">
      <c r="A67" s="24" t="n">
        <v>62</v>
      </c>
      <c r="B67" s="53" t="n">
        <f aca="false">1+MIN(0.5,$A67*0.02)+0.01*MAX(MIN($A67,55)-25,0)+0.004*MAX(0,$A67-55)</f>
        <v>1.828</v>
      </c>
      <c r="C67" s="54" t="n">
        <f aca="false">IF($A67&gt;=12,1,0)+IF($A67&gt;=18,1,0)+IF($A67&gt;18,INT(($A67-18)/5),0)</f>
        <v>10</v>
      </c>
      <c r="D67" s="54" t="n">
        <f aca="false">IF($A67&gt;=26,1,0)+IF($A67&gt;=38,1,0)+IF($A67&gt;38,INT(($A67-38)/12),0)</f>
        <v>4</v>
      </c>
      <c r="E67" s="54" t="n">
        <f aca="false">IF($A67&gt;=25,1,0)+IF($A67&gt;=50,1,0)+MAX(0,INT(($A67-50)/25))</f>
        <v>2</v>
      </c>
      <c r="F67" s="54" t="n">
        <f aca="false">IF($A67&gt;=60,1,0)+MAX(0,INT(($A67-60)/30))</f>
        <v>1</v>
      </c>
      <c r="G67" s="55" t="n">
        <f aca="false">IF($A67&lt;=18,MAX(0.18,0.9-$A67*0.04),0.06+0.12*EXP(-($A67-18)/25))</f>
        <v>0.0806453836587661</v>
      </c>
      <c r="H67" s="54" t="n">
        <f aca="false">IF($A67&lt;36,1,IF($A67&lt;60,2,3))</f>
        <v>3</v>
      </c>
      <c r="I67" s="56" t="n">
        <f aca="false">IF($A67&lt;6,0,0.14+0.55*(1-EXP(-($A67-6)/22)))</f>
        <v>0.646859435215578</v>
      </c>
      <c r="J67" s="56" t="n">
        <f aca="false">IF($A67&lt;18,0,0.35*(1-EXP(-($A67-17)/30)))</f>
        <v>0.27190444394805</v>
      </c>
      <c r="K67" s="53" t="n">
        <f aca="false">IF($A67&lt;=15,1,1+(1-EXP(-($A67-15)/15)))</f>
        <v>1.95642768613108</v>
      </c>
      <c r="L67" s="54" t="n">
        <f aca="false">IF($A67&lt;14,0,MIN(8,1+INT(($A67-14)/9)))</f>
        <v>6</v>
      </c>
      <c r="M67" s="54" t="n">
        <f aca="false">IF($A67&lt;16,0,IF($A67&lt;40,1,2))</f>
        <v>2</v>
      </c>
      <c r="N67" s="54" t="n">
        <f aca="false">IF($A67&lt;20,0,MIN(4,1+INT(($A67-20)/12)))</f>
        <v>4</v>
      </c>
      <c r="O67" s="54" t="n">
        <f aca="false">IF($A67&lt;22,0,MIN(3,1+INT(($A67-22)/15)))</f>
        <v>3</v>
      </c>
      <c r="P67" s="54" t="n">
        <f aca="false">IF($A67&lt;28,0,IF($A67&lt;50,1,2))</f>
        <v>2</v>
      </c>
      <c r="Q67" s="54" t="n">
        <f aca="false">1+IF($A67&gt;=34,1,0)+IF($A67&gt;=60,1,0)+MAX(0,INT(($A67-60)/30))</f>
        <v>3</v>
      </c>
      <c r="R67" s="54" t="n">
        <f aca="false">40+2*MAX(0,$A67-10)</f>
        <v>144</v>
      </c>
      <c r="S67" s="54" t="n">
        <f aca="false">60+2*MAX(0,$A67-10)</f>
        <v>164</v>
      </c>
      <c r="T67" s="54" t="n">
        <f aca="false">40+5.5*$A67</f>
        <v>381</v>
      </c>
    </row>
    <row r="68" customFormat="false" ht="15" hidden="false" customHeight="true" outlineLevel="0" collapsed="false">
      <c r="A68" s="16" t="n">
        <v>63</v>
      </c>
      <c r="B68" s="49" t="n">
        <f aca="false">1+MIN(0.5,$A68*0.02)+0.01*MAX(MIN($A68,55)-25,0)+0.004*MAX(0,$A68-55)</f>
        <v>1.832</v>
      </c>
      <c r="C68" s="50" t="n">
        <f aca="false">IF($A68&gt;=12,1,0)+IF($A68&gt;=18,1,0)+IF($A68&gt;18,INT(($A68-18)/5),0)</f>
        <v>11</v>
      </c>
      <c r="D68" s="50" t="n">
        <f aca="false">IF($A68&gt;=26,1,0)+IF($A68&gt;=38,1,0)+IF($A68&gt;38,INT(($A68-38)/12),0)</f>
        <v>4</v>
      </c>
      <c r="E68" s="50" t="n">
        <f aca="false">IF($A68&gt;=25,1,0)+IF($A68&gt;=50,1,0)+MAX(0,INT(($A68-50)/25))</f>
        <v>2</v>
      </c>
      <c r="F68" s="50" t="n">
        <f aca="false">IF($A68&gt;=60,1,0)+MAX(0,INT(($A68-60)/30))</f>
        <v>1</v>
      </c>
      <c r="G68" s="51" t="n">
        <f aca="false">IF($A68&lt;=18,MAX(0.18,0.9-$A68*0.04),0.06+0.12*EXP(-($A68-18)/25))</f>
        <v>0.0798358665865904</v>
      </c>
      <c r="H68" s="50" t="n">
        <f aca="false">IF($A68&lt;36,1,IF($A68&lt;60,2,3))</f>
        <v>3</v>
      </c>
      <c r="I68" s="52" t="n">
        <f aca="false">IF($A68&lt;6,0,0.14+0.55*(1-EXP(-($A68-6)/22)))</f>
        <v>0.648776470928269</v>
      </c>
      <c r="J68" s="52" t="n">
        <f aca="false">IF($A68&lt;18,0,0.35*(1-EXP(-($A68-17)/30)))</f>
        <v>0.274464720810459</v>
      </c>
      <c r="K68" s="49" t="n">
        <f aca="false">IF($A68&lt;=15,1,1+(1-EXP(-($A68-15)/15)))</f>
        <v>1.95923779602163</v>
      </c>
      <c r="L68" s="50" t="n">
        <f aca="false">IF($A68&lt;14,0,MIN(8,1+INT(($A68-14)/9)))</f>
        <v>6</v>
      </c>
      <c r="M68" s="50" t="n">
        <f aca="false">IF($A68&lt;16,0,IF($A68&lt;40,1,2))</f>
        <v>2</v>
      </c>
      <c r="N68" s="50" t="n">
        <f aca="false">IF($A68&lt;20,0,MIN(4,1+INT(($A68-20)/12)))</f>
        <v>4</v>
      </c>
      <c r="O68" s="50" t="n">
        <f aca="false">IF($A68&lt;22,0,MIN(3,1+INT(($A68-22)/15)))</f>
        <v>3</v>
      </c>
      <c r="P68" s="50" t="n">
        <f aca="false">IF($A68&lt;28,0,IF($A68&lt;50,1,2))</f>
        <v>2</v>
      </c>
      <c r="Q68" s="50" t="n">
        <f aca="false">1+IF($A68&gt;=34,1,0)+IF($A68&gt;=60,1,0)+MAX(0,INT(($A68-60)/30))</f>
        <v>3</v>
      </c>
      <c r="R68" s="50" t="n">
        <f aca="false">40+2*MAX(0,$A68-10)</f>
        <v>146</v>
      </c>
      <c r="S68" s="50" t="n">
        <f aca="false">60+2*MAX(0,$A68-10)</f>
        <v>166</v>
      </c>
      <c r="T68" s="50" t="n">
        <f aca="false">40+5.5*$A68</f>
        <v>386.5</v>
      </c>
    </row>
    <row r="69" customFormat="false" ht="15" hidden="false" customHeight="true" outlineLevel="0" collapsed="false">
      <c r="A69" s="24" t="n">
        <v>64</v>
      </c>
      <c r="B69" s="53" t="n">
        <f aca="false">1+MIN(0.5,$A69*0.02)+0.01*MAX(MIN($A69,55)-25,0)+0.004*MAX(0,$A69-55)</f>
        <v>1.836</v>
      </c>
      <c r="C69" s="54" t="n">
        <f aca="false">IF($A69&gt;=12,1,0)+IF($A69&gt;=18,1,0)+IF($A69&gt;18,INT(($A69-18)/5),0)</f>
        <v>11</v>
      </c>
      <c r="D69" s="54" t="n">
        <f aca="false">IF($A69&gt;=26,1,0)+IF($A69&gt;=38,1,0)+IF($A69&gt;38,INT(($A69-38)/12),0)</f>
        <v>4</v>
      </c>
      <c r="E69" s="54" t="n">
        <f aca="false">IF($A69&gt;=25,1,0)+IF($A69&gt;=50,1,0)+MAX(0,INT(($A69-50)/25))</f>
        <v>2</v>
      </c>
      <c r="F69" s="54" t="n">
        <f aca="false">IF($A69&gt;=60,1,0)+MAX(0,INT(($A69-60)/30))</f>
        <v>1</v>
      </c>
      <c r="G69" s="55" t="n">
        <f aca="false">IF($A69&lt;=18,MAX(0.18,0.9-$A69*0.04),0.06+0.12*EXP(-($A69-18)/25))</f>
        <v>0.0790580911328305</v>
      </c>
      <c r="H69" s="54" t="n">
        <f aca="false">IF($A69&lt;36,1,IF($A69&lt;60,2,3))</f>
        <v>3</v>
      </c>
      <c r="I69" s="56" t="n">
        <f aca="false">IF($A69&lt;6,0,0.14+0.55*(1-EXP(-($A69-6)/22)))</f>
        <v>0.650608319394523</v>
      </c>
      <c r="J69" s="56" t="n">
        <f aca="false">IF($A69&lt;18,0,0.35*(1-EXP(-($A69-17)/30)))</f>
        <v>0.276941061813472</v>
      </c>
      <c r="K69" s="53" t="n">
        <f aca="false">IF($A69&lt;=15,1,1+(1-EXP(-($A69-15)/15)))</f>
        <v>1.96186667345295</v>
      </c>
      <c r="L69" s="54" t="n">
        <f aca="false">IF($A69&lt;14,0,MIN(8,1+INT(($A69-14)/9)))</f>
        <v>6</v>
      </c>
      <c r="M69" s="54" t="n">
        <f aca="false">IF($A69&lt;16,0,IF($A69&lt;40,1,2))</f>
        <v>2</v>
      </c>
      <c r="N69" s="54" t="n">
        <f aca="false">IF($A69&lt;20,0,MIN(4,1+INT(($A69-20)/12)))</f>
        <v>4</v>
      </c>
      <c r="O69" s="54" t="n">
        <f aca="false">IF($A69&lt;22,0,MIN(3,1+INT(($A69-22)/15)))</f>
        <v>3</v>
      </c>
      <c r="P69" s="54" t="n">
        <f aca="false">IF($A69&lt;28,0,IF($A69&lt;50,1,2))</f>
        <v>2</v>
      </c>
      <c r="Q69" s="54" t="n">
        <f aca="false">1+IF($A69&gt;=34,1,0)+IF($A69&gt;=60,1,0)+MAX(0,INT(($A69-60)/30))</f>
        <v>3</v>
      </c>
      <c r="R69" s="54" t="n">
        <f aca="false">40+2*MAX(0,$A69-10)</f>
        <v>148</v>
      </c>
      <c r="S69" s="54" t="n">
        <f aca="false">60+2*MAX(0,$A69-10)</f>
        <v>168</v>
      </c>
      <c r="T69" s="54" t="n">
        <f aca="false">40+5.5*$A69</f>
        <v>392</v>
      </c>
    </row>
    <row r="70" customFormat="false" ht="15" hidden="false" customHeight="true" outlineLevel="0" collapsed="false">
      <c r="A70" s="16" t="n">
        <v>65</v>
      </c>
      <c r="B70" s="49" t="n">
        <f aca="false">1+MIN(0.5,$A70*0.02)+0.01*MAX(MIN($A70,55)-25,0)+0.004*MAX(0,$A70-55)</f>
        <v>1.84</v>
      </c>
      <c r="C70" s="50" t="n">
        <f aca="false">IF($A70&gt;=12,1,0)+IF($A70&gt;=18,1,0)+IF($A70&gt;18,INT(($A70-18)/5),0)</f>
        <v>11</v>
      </c>
      <c r="D70" s="50" t="n">
        <f aca="false">IF($A70&gt;=26,1,0)+IF($A70&gt;=38,1,0)+IF($A70&gt;38,INT(($A70-38)/12),0)</f>
        <v>4</v>
      </c>
      <c r="E70" s="50" t="n">
        <f aca="false">IF($A70&gt;=25,1,0)+IF($A70&gt;=50,1,0)+MAX(0,INT(($A70-50)/25))</f>
        <v>2</v>
      </c>
      <c r="F70" s="50" t="n">
        <f aca="false">IF($A70&gt;=60,1,0)+MAX(0,INT(($A70-60)/30))</f>
        <v>1</v>
      </c>
      <c r="G70" s="51" t="n">
        <f aca="false">IF($A70&lt;=18,MAX(0.18,0.9-$A70*0.04),0.06+0.12*EXP(-($A70-18)/25))</f>
        <v>0.0783108126908261</v>
      </c>
      <c r="H70" s="50" t="n">
        <f aca="false">IF($A70&lt;36,1,IF($A70&lt;60,2,3))</f>
        <v>3</v>
      </c>
      <c r="I70" s="52" t="n">
        <f aca="false">IF($A70&lt;6,0,0.14+0.55*(1-EXP(-($A70-6)/22)))</f>
        <v>0.65235876607692</v>
      </c>
      <c r="J70" s="52" t="n">
        <f aca="false">IF($A70&lt;18,0,0.35*(1-EXP(-($A70-17)/30)))</f>
        <v>0.279336218701871</v>
      </c>
      <c r="K70" s="49" t="n">
        <f aca="false">IF($A70&lt;=15,1,1+(1-EXP(-($A70-15)/15)))</f>
        <v>1.96432600665275</v>
      </c>
      <c r="L70" s="50" t="n">
        <f aca="false">IF($A70&lt;14,0,MIN(8,1+INT(($A70-14)/9)))</f>
        <v>6</v>
      </c>
      <c r="M70" s="50" t="n">
        <f aca="false">IF($A70&lt;16,0,IF($A70&lt;40,1,2))</f>
        <v>2</v>
      </c>
      <c r="N70" s="50" t="n">
        <f aca="false">IF($A70&lt;20,0,MIN(4,1+INT(($A70-20)/12)))</f>
        <v>4</v>
      </c>
      <c r="O70" s="50" t="n">
        <f aca="false">IF($A70&lt;22,0,MIN(3,1+INT(($A70-22)/15)))</f>
        <v>3</v>
      </c>
      <c r="P70" s="50" t="n">
        <f aca="false">IF($A70&lt;28,0,IF($A70&lt;50,1,2))</f>
        <v>2</v>
      </c>
      <c r="Q70" s="50" t="n">
        <f aca="false">1+IF($A70&gt;=34,1,0)+IF($A70&gt;=60,1,0)+MAX(0,INT(($A70-60)/30))</f>
        <v>3</v>
      </c>
      <c r="R70" s="50" t="n">
        <f aca="false">40+2*MAX(0,$A70-10)</f>
        <v>150</v>
      </c>
      <c r="S70" s="50" t="n">
        <f aca="false">60+2*MAX(0,$A70-10)</f>
        <v>170</v>
      </c>
      <c r="T70" s="50" t="n">
        <f aca="false">40+5.5*$A70</f>
        <v>397.5</v>
      </c>
    </row>
    <row r="71" customFormat="false" ht="15" hidden="false" customHeight="true" outlineLevel="0" collapsed="false">
      <c r="A71" s="24" t="n">
        <v>66</v>
      </c>
      <c r="B71" s="53" t="n">
        <f aca="false">1+MIN(0.5,$A71*0.02)+0.01*MAX(MIN($A71,55)-25,0)+0.004*MAX(0,$A71-55)</f>
        <v>1.844</v>
      </c>
      <c r="C71" s="54" t="n">
        <f aca="false">IF($A71&gt;=12,1,0)+IF($A71&gt;=18,1,0)+IF($A71&gt;18,INT(($A71-18)/5),0)</f>
        <v>11</v>
      </c>
      <c r="D71" s="54" t="n">
        <f aca="false">IF($A71&gt;=26,1,0)+IF($A71&gt;=38,1,0)+IF($A71&gt;38,INT(($A71-38)/12),0)</f>
        <v>4</v>
      </c>
      <c r="E71" s="54" t="n">
        <f aca="false">IF($A71&gt;=25,1,0)+IF($A71&gt;=50,1,0)+MAX(0,INT(($A71-50)/25))</f>
        <v>2</v>
      </c>
      <c r="F71" s="54" t="n">
        <f aca="false">IF($A71&gt;=60,1,0)+MAX(0,INT(($A71-60)/30))</f>
        <v>1</v>
      </c>
      <c r="G71" s="55" t="n">
        <f aca="false">IF($A71&lt;=18,MAX(0.18,0.9-$A71*0.04),0.06+0.12*EXP(-($A71-18)/25))</f>
        <v>0.077592835455642</v>
      </c>
      <c r="H71" s="54" t="n">
        <f aca="false">IF($A71&lt;36,1,IF($A71&lt;60,2,3))</f>
        <v>3</v>
      </c>
      <c r="I71" s="56" t="n">
        <f aca="false">IF($A71&lt;6,0,0.14+0.55*(1-EXP(-($A71-6)/22)))</f>
        <v>0.654031428223577</v>
      </c>
      <c r="J71" s="56" t="n">
        <f aca="false">IF($A71&lt;18,0,0.35*(1-EXP(-($A71-17)/30)))</f>
        <v>0.28165285300751</v>
      </c>
      <c r="K71" s="53" t="n">
        <f aca="false">IF($A71&lt;=15,1,1+(1-EXP(-($A71-15)/15)))</f>
        <v>1.96662673003967</v>
      </c>
      <c r="L71" s="54" t="n">
        <f aca="false">IF($A71&lt;14,0,MIN(8,1+INT(($A71-14)/9)))</f>
        <v>6</v>
      </c>
      <c r="M71" s="54" t="n">
        <f aca="false">IF($A71&lt;16,0,IF($A71&lt;40,1,2))</f>
        <v>2</v>
      </c>
      <c r="N71" s="54" t="n">
        <f aca="false">IF($A71&lt;20,0,MIN(4,1+INT(($A71-20)/12)))</f>
        <v>4</v>
      </c>
      <c r="O71" s="54" t="n">
        <f aca="false">IF($A71&lt;22,0,MIN(3,1+INT(($A71-22)/15)))</f>
        <v>3</v>
      </c>
      <c r="P71" s="54" t="n">
        <f aca="false">IF($A71&lt;28,0,IF($A71&lt;50,1,2))</f>
        <v>2</v>
      </c>
      <c r="Q71" s="54" t="n">
        <f aca="false">1+IF($A71&gt;=34,1,0)+IF($A71&gt;=60,1,0)+MAX(0,INT(($A71-60)/30))</f>
        <v>3</v>
      </c>
      <c r="R71" s="54" t="n">
        <f aca="false">40+2*MAX(0,$A71-10)</f>
        <v>152</v>
      </c>
      <c r="S71" s="54" t="n">
        <f aca="false">60+2*MAX(0,$A71-10)</f>
        <v>172</v>
      </c>
      <c r="T71" s="54" t="n">
        <f aca="false">40+5.5*$A71</f>
        <v>403</v>
      </c>
    </row>
    <row r="72" customFormat="false" ht="15" hidden="false" customHeight="true" outlineLevel="0" collapsed="false">
      <c r="A72" s="16" t="n">
        <v>67</v>
      </c>
      <c r="B72" s="49" t="n">
        <f aca="false">1+MIN(0.5,$A72*0.02)+0.01*MAX(MIN($A72,55)-25,0)+0.004*MAX(0,$A72-55)</f>
        <v>1.848</v>
      </c>
      <c r="C72" s="50" t="n">
        <f aca="false">IF($A72&gt;=12,1,0)+IF($A72&gt;=18,1,0)+IF($A72&gt;18,INT(($A72-18)/5),0)</f>
        <v>11</v>
      </c>
      <c r="D72" s="50" t="n">
        <f aca="false">IF($A72&gt;=26,1,0)+IF($A72&gt;=38,1,0)+IF($A72&gt;38,INT(($A72-38)/12),0)</f>
        <v>4</v>
      </c>
      <c r="E72" s="50" t="n">
        <f aca="false">IF($A72&gt;=25,1,0)+IF($A72&gt;=50,1,0)+MAX(0,INT(($A72-50)/25))</f>
        <v>2</v>
      </c>
      <c r="F72" s="50" t="n">
        <f aca="false">IF($A72&gt;=60,1,0)+MAX(0,INT(($A72-60)/30))</f>
        <v>1</v>
      </c>
      <c r="G72" s="51" t="n">
        <f aca="false">IF($A72&lt;=18,MAX(0.18,0.9-$A72*0.04),0.06+0.12*EXP(-($A72-18)/25))</f>
        <v>0.0769030105105254</v>
      </c>
      <c r="H72" s="50" t="n">
        <f aca="false">IF($A72&lt;36,1,IF($A72&lt;60,2,3))</f>
        <v>3</v>
      </c>
      <c r="I72" s="52" t="n">
        <f aca="false">IF($A72&lt;6,0,0.14+0.55*(1-EXP(-($A72-6)/22)))</f>
        <v>0.655629762343088</v>
      </c>
      <c r="J72" s="52" t="n">
        <f aca="false">IF($A72&lt;18,0,0.35*(1-EXP(-($A72-17)/30)))</f>
        <v>0.283893539006853</v>
      </c>
      <c r="K72" s="49" t="n">
        <f aca="false">IF($A72&lt;=15,1,1+(1-EXP(-($A72-15)/15)))</f>
        <v>1.96877907283877</v>
      </c>
      <c r="L72" s="50" t="n">
        <f aca="false">IF($A72&lt;14,0,MIN(8,1+INT(($A72-14)/9)))</f>
        <v>6</v>
      </c>
      <c r="M72" s="50" t="n">
        <f aca="false">IF($A72&lt;16,0,IF($A72&lt;40,1,2))</f>
        <v>2</v>
      </c>
      <c r="N72" s="50" t="n">
        <f aca="false">IF($A72&lt;20,0,MIN(4,1+INT(($A72-20)/12)))</f>
        <v>4</v>
      </c>
      <c r="O72" s="50" t="n">
        <f aca="false">IF($A72&lt;22,0,MIN(3,1+INT(($A72-22)/15)))</f>
        <v>3</v>
      </c>
      <c r="P72" s="50" t="n">
        <f aca="false">IF($A72&lt;28,0,IF($A72&lt;50,1,2))</f>
        <v>2</v>
      </c>
      <c r="Q72" s="50" t="n">
        <f aca="false">1+IF($A72&gt;=34,1,0)+IF($A72&gt;=60,1,0)+MAX(0,INT(($A72-60)/30))</f>
        <v>3</v>
      </c>
      <c r="R72" s="50" t="n">
        <f aca="false">40+2*MAX(0,$A72-10)</f>
        <v>154</v>
      </c>
      <c r="S72" s="50" t="n">
        <f aca="false">60+2*MAX(0,$A72-10)</f>
        <v>174</v>
      </c>
      <c r="T72" s="50" t="n">
        <f aca="false">40+5.5*$A72</f>
        <v>408.5</v>
      </c>
    </row>
    <row r="73" customFormat="false" ht="15" hidden="false" customHeight="true" outlineLevel="0" collapsed="false">
      <c r="A73" s="24" t="n">
        <v>68</v>
      </c>
      <c r="B73" s="53" t="n">
        <f aca="false">1+MIN(0.5,$A73*0.02)+0.01*MAX(MIN($A73,55)-25,0)+0.004*MAX(0,$A73-55)</f>
        <v>1.852</v>
      </c>
      <c r="C73" s="54" t="n">
        <f aca="false">IF($A73&gt;=12,1,0)+IF($A73&gt;=18,1,0)+IF($A73&gt;18,INT(($A73-18)/5),0)</f>
        <v>12</v>
      </c>
      <c r="D73" s="54" t="n">
        <f aca="false">IF($A73&gt;=26,1,0)+IF($A73&gt;=38,1,0)+IF($A73&gt;38,INT(($A73-38)/12),0)</f>
        <v>4</v>
      </c>
      <c r="E73" s="54" t="n">
        <f aca="false">IF($A73&gt;=25,1,0)+IF($A73&gt;=50,1,0)+MAX(0,INT(($A73-50)/25))</f>
        <v>2</v>
      </c>
      <c r="F73" s="54" t="n">
        <f aca="false">IF($A73&gt;=60,1,0)+MAX(0,INT(($A73-60)/30))</f>
        <v>1</v>
      </c>
      <c r="G73" s="55" t="n">
        <f aca="false">IF($A73&lt;=18,MAX(0.18,0.9-$A73*0.04),0.06+0.12*EXP(-($A73-18)/25))</f>
        <v>0.0762402339883935</v>
      </c>
      <c r="H73" s="54" t="n">
        <f aca="false">IF($A73&lt;36,1,IF($A73&lt;60,2,3))</f>
        <v>3</v>
      </c>
      <c r="I73" s="56" t="n">
        <f aca="false">IF($A73&lt;6,0,0.14+0.55*(1-EXP(-($A73-6)/22)))</f>
        <v>0.657157071347298</v>
      </c>
      <c r="J73" s="56" t="n">
        <f aca="false">IF($A73&lt;18,0,0.35*(1-EXP(-($A73-17)/30)))</f>
        <v>0.286060766581543</v>
      </c>
      <c r="K73" s="53" t="n">
        <f aca="false">IF($A73&lt;=15,1,1+(1-EXP(-($A73-15)/15)))</f>
        <v>1.97079260456151</v>
      </c>
      <c r="L73" s="54" t="n">
        <f aca="false">IF($A73&lt;14,0,MIN(8,1+INT(($A73-14)/9)))</f>
        <v>7</v>
      </c>
      <c r="M73" s="54" t="n">
        <f aca="false">IF($A73&lt;16,0,IF($A73&lt;40,1,2))</f>
        <v>2</v>
      </c>
      <c r="N73" s="54" t="n">
        <f aca="false">IF($A73&lt;20,0,MIN(4,1+INT(($A73-20)/12)))</f>
        <v>4</v>
      </c>
      <c r="O73" s="54" t="n">
        <f aca="false">IF($A73&lt;22,0,MIN(3,1+INT(($A73-22)/15)))</f>
        <v>3</v>
      </c>
      <c r="P73" s="54" t="n">
        <f aca="false">IF($A73&lt;28,0,IF($A73&lt;50,1,2))</f>
        <v>2</v>
      </c>
      <c r="Q73" s="54" t="n">
        <f aca="false">1+IF($A73&gt;=34,1,0)+IF($A73&gt;=60,1,0)+MAX(0,INT(($A73-60)/30))</f>
        <v>3</v>
      </c>
      <c r="R73" s="54" t="n">
        <f aca="false">40+2*MAX(0,$A73-10)</f>
        <v>156</v>
      </c>
      <c r="S73" s="54" t="n">
        <f aca="false">60+2*MAX(0,$A73-10)</f>
        <v>176</v>
      </c>
      <c r="T73" s="54" t="n">
        <f aca="false">40+5.5*$A73</f>
        <v>414</v>
      </c>
    </row>
    <row r="74" customFormat="false" ht="15" hidden="false" customHeight="true" outlineLevel="0" collapsed="false">
      <c r="A74" s="16" t="n">
        <v>69</v>
      </c>
      <c r="B74" s="49" t="n">
        <f aca="false">1+MIN(0.5,$A74*0.02)+0.01*MAX(MIN($A74,55)-25,0)+0.004*MAX(0,$A74-55)</f>
        <v>1.856</v>
      </c>
      <c r="C74" s="50" t="n">
        <f aca="false">IF($A74&gt;=12,1,0)+IF($A74&gt;=18,1,0)+IF($A74&gt;18,INT(($A74-18)/5),0)</f>
        <v>12</v>
      </c>
      <c r="D74" s="50" t="n">
        <f aca="false">IF($A74&gt;=26,1,0)+IF($A74&gt;=38,1,0)+IF($A74&gt;38,INT(($A74-38)/12),0)</f>
        <v>4</v>
      </c>
      <c r="E74" s="50" t="n">
        <f aca="false">IF($A74&gt;=25,1,0)+IF($A74&gt;=50,1,0)+MAX(0,INT(($A74-50)/25))</f>
        <v>2</v>
      </c>
      <c r="F74" s="50" t="n">
        <f aca="false">IF($A74&gt;=60,1,0)+MAX(0,INT(($A74-60)/30))</f>
        <v>1</v>
      </c>
      <c r="G74" s="51" t="n">
        <f aca="false">IF($A74&lt;=18,MAX(0.18,0.9-$A74*0.04),0.06+0.12*EXP(-($A74-18)/25))</f>
        <v>0.0756034453054111</v>
      </c>
      <c r="H74" s="50" t="n">
        <f aca="false">IF($A74&lt;36,1,IF($A74&lt;60,2,3))</f>
        <v>3</v>
      </c>
      <c r="I74" s="52" t="n">
        <f aca="false">IF($A74&lt;6,0,0.14+0.55*(1-EXP(-($A74-6)/22)))</f>
        <v>0.658616511376682</v>
      </c>
      <c r="J74" s="52" t="n">
        <f aca="false">IF($A74&lt;18,0,0.35*(1-EXP(-($A74-17)/30)))</f>
        <v>0.288156943985191</v>
      </c>
      <c r="K74" s="49" t="n">
        <f aca="false">IF($A74&lt;=15,1,1+(1-EXP(-($A74-15)/15)))</f>
        <v>1.97267627755271</v>
      </c>
      <c r="L74" s="50" t="n">
        <f aca="false">IF($A74&lt;14,0,MIN(8,1+INT(($A74-14)/9)))</f>
        <v>7</v>
      </c>
      <c r="M74" s="50" t="n">
        <f aca="false">IF($A74&lt;16,0,IF($A74&lt;40,1,2))</f>
        <v>2</v>
      </c>
      <c r="N74" s="50" t="n">
        <f aca="false">IF($A74&lt;20,0,MIN(4,1+INT(($A74-20)/12)))</f>
        <v>4</v>
      </c>
      <c r="O74" s="50" t="n">
        <f aca="false">IF($A74&lt;22,0,MIN(3,1+INT(($A74-22)/15)))</f>
        <v>3</v>
      </c>
      <c r="P74" s="50" t="n">
        <f aca="false">IF($A74&lt;28,0,IF($A74&lt;50,1,2))</f>
        <v>2</v>
      </c>
      <c r="Q74" s="50" t="n">
        <f aca="false">1+IF($A74&gt;=34,1,0)+IF($A74&gt;=60,1,0)+MAX(0,INT(($A74-60)/30))</f>
        <v>3</v>
      </c>
      <c r="R74" s="50" t="n">
        <f aca="false">40+2*MAX(0,$A74-10)</f>
        <v>158</v>
      </c>
      <c r="S74" s="50" t="n">
        <f aca="false">60+2*MAX(0,$A74-10)</f>
        <v>178</v>
      </c>
      <c r="T74" s="50" t="n">
        <f aca="false">40+5.5*$A74</f>
        <v>419.5</v>
      </c>
    </row>
    <row r="75" customFormat="false" ht="15" hidden="false" customHeight="true" outlineLevel="0" collapsed="false">
      <c r="A75" s="24" t="n">
        <v>70</v>
      </c>
      <c r="B75" s="53" t="n">
        <f aca="false">1+MIN(0.5,$A75*0.02)+0.01*MAX(MIN($A75,55)-25,0)+0.004*MAX(0,$A75-55)</f>
        <v>1.86</v>
      </c>
      <c r="C75" s="54" t="n">
        <f aca="false">IF($A75&gt;=12,1,0)+IF($A75&gt;=18,1,0)+IF($A75&gt;18,INT(($A75-18)/5),0)</f>
        <v>12</v>
      </c>
      <c r="D75" s="54" t="n">
        <f aca="false">IF($A75&gt;=26,1,0)+IF($A75&gt;=38,1,0)+IF($A75&gt;38,INT(($A75-38)/12),0)</f>
        <v>4</v>
      </c>
      <c r="E75" s="54" t="n">
        <f aca="false">IF($A75&gt;=25,1,0)+IF($A75&gt;=50,1,0)+MAX(0,INT(($A75-50)/25))</f>
        <v>2</v>
      </c>
      <c r="F75" s="54" t="n">
        <f aca="false">IF($A75&gt;=60,1,0)+MAX(0,INT(($A75-60)/30))</f>
        <v>1</v>
      </c>
      <c r="G75" s="55" t="n">
        <f aca="false">IF($A75&lt;=18,MAX(0.18,0.9-$A75*0.04),0.06+0.12*EXP(-($A75-18)/25))</f>
        <v>0.0749916254638299</v>
      </c>
      <c r="H75" s="54" t="n">
        <f aca="false">IF($A75&lt;36,1,IF($A75&lt;60,2,3))</f>
        <v>3</v>
      </c>
      <c r="I75" s="56" t="n">
        <f aca="false">IF($A75&lt;6,0,0.14+0.55*(1-EXP(-($A75-6)/22)))</f>
        <v>0.660011098322411</v>
      </c>
      <c r="J75" s="56" t="n">
        <f aca="false">IF($A75&lt;18,0,0.35*(1-EXP(-($A75-17)/30)))</f>
        <v>0.290184400519466</v>
      </c>
      <c r="K75" s="53" t="n">
        <f aca="false">IF($A75&lt;=15,1,1+(1-EXP(-($A75-15)/15)))</f>
        <v>1.97443846679349</v>
      </c>
      <c r="L75" s="54" t="n">
        <f aca="false">IF($A75&lt;14,0,MIN(8,1+INT(($A75-14)/9)))</f>
        <v>7</v>
      </c>
      <c r="M75" s="54" t="n">
        <f aca="false">IF($A75&lt;16,0,IF($A75&lt;40,1,2))</f>
        <v>2</v>
      </c>
      <c r="N75" s="54" t="n">
        <f aca="false">IF($A75&lt;20,0,MIN(4,1+INT(($A75-20)/12)))</f>
        <v>4</v>
      </c>
      <c r="O75" s="54" t="n">
        <f aca="false">IF($A75&lt;22,0,MIN(3,1+INT(($A75-22)/15)))</f>
        <v>3</v>
      </c>
      <c r="P75" s="54" t="n">
        <f aca="false">IF($A75&lt;28,0,IF($A75&lt;50,1,2))</f>
        <v>2</v>
      </c>
      <c r="Q75" s="54" t="n">
        <f aca="false">1+IF($A75&gt;=34,1,0)+IF($A75&gt;=60,1,0)+MAX(0,INT(($A75-60)/30))</f>
        <v>3</v>
      </c>
      <c r="R75" s="54" t="n">
        <f aca="false">40+2*MAX(0,$A75-10)</f>
        <v>160</v>
      </c>
      <c r="S75" s="54" t="n">
        <f aca="false">60+2*MAX(0,$A75-10)</f>
        <v>180</v>
      </c>
      <c r="T75" s="54" t="n">
        <f aca="false">40+5.5*$A75</f>
        <v>425</v>
      </c>
    </row>
    <row r="76" customFormat="false" ht="15" hidden="false" customHeight="true" outlineLevel="0" collapsed="false">
      <c r="A76" s="16" t="n">
        <v>71</v>
      </c>
      <c r="B76" s="49" t="n">
        <f aca="false">1+MIN(0.5,$A76*0.02)+0.01*MAX(MIN($A76,55)-25,0)+0.004*MAX(0,$A76-55)</f>
        <v>1.864</v>
      </c>
      <c r="C76" s="50" t="n">
        <f aca="false">IF($A76&gt;=12,1,0)+IF($A76&gt;=18,1,0)+IF($A76&gt;18,INT(($A76-18)/5),0)</f>
        <v>12</v>
      </c>
      <c r="D76" s="50" t="n">
        <f aca="false">IF($A76&gt;=26,1,0)+IF($A76&gt;=38,1,0)+IF($A76&gt;38,INT(($A76-38)/12),0)</f>
        <v>4</v>
      </c>
      <c r="E76" s="50" t="n">
        <f aca="false">IF($A76&gt;=25,1,0)+IF($A76&gt;=50,1,0)+MAX(0,INT(($A76-50)/25))</f>
        <v>2</v>
      </c>
      <c r="F76" s="50" t="n">
        <f aca="false">IF($A76&gt;=60,1,0)+MAX(0,INT(($A76-60)/30))</f>
        <v>1</v>
      </c>
      <c r="G76" s="51" t="n">
        <f aca="false">IF($A76&lt;=18,MAX(0.18,0.9-$A76*0.04),0.06+0.12*EXP(-($A76-18)/25))</f>
        <v>0.0744037954213748</v>
      </c>
      <c r="H76" s="50" t="n">
        <f aca="false">IF($A76&lt;36,1,IF($A76&lt;60,2,3))</f>
        <v>3</v>
      </c>
      <c r="I76" s="52" t="n">
        <f aca="false">IF($A76&lt;6,0,0.14+0.55*(1-EXP(-($A76-6)/22)))</f>
        <v>0.661343714058612</v>
      </c>
      <c r="J76" s="52" t="n">
        <f aca="false">IF($A76&lt;18,0,0.35*(1-EXP(-($A76-17)/30)))</f>
        <v>0.292145389122445</v>
      </c>
      <c r="K76" s="49" t="n">
        <f aca="false">IF($A76&lt;=15,1,1+(1-EXP(-($A76-15)/15)))</f>
        <v>1.97608700713719</v>
      </c>
      <c r="L76" s="50" t="n">
        <f aca="false">IF($A76&lt;14,0,MIN(8,1+INT(($A76-14)/9)))</f>
        <v>7</v>
      </c>
      <c r="M76" s="50" t="n">
        <f aca="false">IF($A76&lt;16,0,IF($A76&lt;40,1,2))</f>
        <v>2</v>
      </c>
      <c r="N76" s="50" t="n">
        <f aca="false">IF($A76&lt;20,0,MIN(4,1+INT(($A76-20)/12)))</f>
        <v>4</v>
      </c>
      <c r="O76" s="50" t="n">
        <f aca="false">IF($A76&lt;22,0,MIN(3,1+INT(($A76-22)/15)))</f>
        <v>3</v>
      </c>
      <c r="P76" s="50" t="n">
        <f aca="false">IF($A76&lt;28,0,IF($A76&lt;50,1,2))</f>
        <v>2</v>
      </c>
      <c r="Q76" s="50" t="n">
        <f aca="false">1+IF($A76&gt;=34,1,0)+IF($A76&gt;=60,1,0)+MAX(0,INT(($A76-60)/30))</f>
        <v>3</v>
      </c>
      <c r="R76" s="50" t="n">
        <f aca="false">40+2*MAX(0,$A76-10)</f>
        <v>162</v>
      </c>
      <c r="S76" s="50" t="n">
        <f aca="false">60+2*MAX(0,$A76-10)</f>
        <v>182</v>
      </c>
      <c r="T76" s="50" t="n">
        <f aca="false">40+5.5*$A76</f>
        <v>430.5</v>
      </c>
    </row>
    <row r="77" customFormat="false" ht="15" hidden="false" customHeight="true" outlineLevel="0" collapsed="false">
      <c r="A77" s="24" t="n">
        <v>72</v>
      </c>
      <c r="B77" s="53" t="n">
        <f aca="false">1+MIN(0.5,$A77*0.02)+0.01*MAX(MIN($A77,55)-25,0)+0.004*MAX(0,$A77-55)</f>
        <v>1.868</v>
      </c>
      <c r="C77" s="54" t="n">
        <f aca="false">IF($A77&gt;=12,1,0)+IF($A77&gt;=18,1,0)+IF($A77&gt;18,INT(($A77-18)/5),0)</f>
        <v>12</v>
      </c>
      <c r="D77" s="54" t="n">
        <f aca="false">IF($A77&gt;=26,1,0)+IF($A77&gt;=38,1,0)+IF($A77&gt;38,INT(($A77-38)/12),0)</f>
        <v>4</v>
      </c>
      <c r="E77" s="54" t="n">
        <f aca="false">IF($A77&gt;=25,1,0)+IF($A77&gt;=50,1,0)+MAX(0,INT(($A77-50)/25))</f>
        <v>2</v>
      </c>
      <c r="F77" s="54" t="n">
        <f aca="false">IF($A77&gt;=60,1,0)+MAX(0,INT(($A77-60)/30))</f>
        <v>1</v>
      </c>
      <c r="G77" s="55" t="n">
        <f aca="false">IF($A77&lt;=18,MAX(0.18,0.9-$A77*0.04),0.06+0.12*EXP(-($A77-18)/25))</f>
        <v>0.0738390145245675</v>
      </c>
      <c r="H77" s="54" t="n">
        <f aca="false">IF($A77&lt;36,1,IF($A77&lt;60,2,3))</f>
        <v>3</v>
      </c>
      <c r="I77" s="56" t="n">
        <f aca="false">IF($A77&lt;6,0,0.14+0.55*(1-EXP(-($A77-6)/22)))</f>
        <v>0.662617112397675</v>
      </c>
      <c r="J77" s="56" t="n">
        <f aca="false">IF($A77&lt;18,0,0.35*(1-EXP(-($A77-17)/30)))</f>
        <v>0.294042088872107</v>
      </c>
      <c r="K77" s="53" t="n">
        <f aca="false">IF($A77&lt;=15,1,1+(1-EXP(-($A77-15)/15)))</f>
        <v>1.97762922814383</v>
      </c>
      <c r="L77" s="54" t="n">
        <f aca="false">IF($A77&lt;14,0,MIN(8,1+INT(($A77-14)/9)))</f>
        <v>7</v>
      </c>
      <c r="M77" s="54" t="n">
        <f aca="false">IF($A77&lt;16,0,IF($A77&lt;40,1,2))</f>
        <v>2</v>
      </c>
      <c r="N77" s="54" t="n">
        <f aca="false">IF($A77&lt;20,0,MIN(4,1+INT(($A77-20)/12)))</f>
        <v>4</v>
      </c>
      <c r="O77" s="54" t="n">
        <f aca="false">IF($A77&lt;22,0,MIN(3,1+INT(($A77-22)/15)))</f>
        <v>3</v>
      </c>
      <c r="P77" s="54" t="n">
        <f aca="false">IF($A77&lt;28,0,IF($A77&lt;50,1,2))</f>
        <v>2</v>
      </c>
      <c r="Q77" s="54" t="n">
        <f aca="false">1+IF($A77&gt;=34,1,0)+IF($A77&gt;=60,1,0)+MAX(0,INT(($A77-60)/30))</f>
        <v>3</v>
      </c>
      <c r="R77" s="54" t="n">
        <f aca="false">40+2*MAX(0,$A77-10)</f>
        <v>164</v>
      </c>
      <c r="S77" s="54" t="n">
        <f aca="false">60+2*MAX(0,$A77-10)</f>
        <v>184</v>
      </c>
      <c r="T77" s="54" t="n">
        <f aca="false">40+5.5*$A77</f>
        <v>436</v>
      </c>
    </row>
    <row r="78" customFormat="false" ht="15" hidden="false" customHeight="true" outlineLevel="0" collapsed="false">
      <c r="A78" s="16" t="n">
        <v>73</v>
      </c>
      <c r="B78" s="49" t="n">
        <f aca="false">1+MIN(0.5,$A78*0.02)+0.01*MAX(MIN($A78,55)-25,0)+0.004*MAX(0,$A78-55)</f>
        <v>1.872</v>
      </c>
      <c r="C78" s="50" t="n">
        <f aca="false">IF($A78&gt;=12,1,0)+IF($A78&gt;=18,1,0)+IF($A78&gt;18,INT(($A78-18)/5),0)</f>
        <v>13</v>
      </c>
      <c r="D78" s="50" t="n">
        <f aca="false">IF($A78&gt;=26,1,0)+IF($A78&gt;=38,1,0)+IF($A78&gt;38,INT(($A78-38)/12),0)</f>
        <v>4</v>
      </c>
      <c r="E78" s="50" t="n">
        <f aca="false">IF($A78&gt;=25,1,0)+IF($A78&gt;=50,1,0)+MAX(0,INT(($A78-50)/25))</f>
        <v>2</v>
      </c>
      <c r="F78" s="50" t="n">
        <f aca="false">IF($A78&gt;=60,1,0)+MAX(0,INT(($A78-60)/30))</f>
        <v>1</v>
      </c>
      <c r="G78" s="51" t="n">
        <f aca="false">IF($A78&lt;=18,MAX(0.18,0.9-$A78*0.04),0.06+0.12*EXP(-($A78-18)/25))</f>
        <v>0.0732963790034801</v>
      </c>
      <c r="H78" s="50" t="n">
        <f aca="false">IF($A78&lt;36,1,IF($A78&lt;60,2,3))</f>
        <v>3</v>
      </c>
      <c r="I78" s="52" t="n">
        <f aca="false">IF($A78&lt;6,0,0.14+0.55*(1-EXP(-($A78-6)/22)))</f>
        <v>0.663833924780929</v>
      </c>
      <c r="J78" s="52" t="n">
        <f aca="false">IF($A78&lt;18,0,0.35*(1-EXP(-($A78-17)/30)))</f>
        <v>0.295876607407761</v>
      </c>
      <c r="K78" s="49" t="n">
        <f aca="false">IF($A78&lt;=15,1,1+(1-EXP(-($A78-15)/15)))</f>
        <v>1.97907198666801</v>
      </c>
      <c r="L78" s="50" t="n">
        <f aca="false">IF($A78&lt;14,0,MIN(8,1+INT(($A78-14)/9)))</f>
        <v>7</v>
      </c>
      <c r="M78" s="50" t="n">
        <f aca="false">IF($A78&lt;16,0,IF($A78&lt;40,1,2))</f>
        <v>2</v>
      </c>
      <c r="N78" s="50" t="n">
        <f aca="false">IF($A78&lt;20,0,MIN(4,1+INT(($A78-20)/12)))</f>
        <v>4</v>
      </c>
      <c r="O78" s="50" t="n">
        <f aca="false">IF($A78&lt;22,0,MIN(3,1+INT(($A78-22)/15)))</f>
        <v>3</v>
      </c>
      <c r="P78" s="50" t="n">
        <f aca="false">IF($A78&lt;28,0,IF($A78&lt;50,1,2))</f>
        <v>2</v>
      </c>
      <c r="Q78" s="50" t="n">
        <f aca="false">1+IF($A78&gt;=34,1,0)+IF($A78&gt;=60,1,0)+MAX(0,INT(($A78-60)/30))</f>
        <v>3</v>
      </c>
      <c r="R78" s="50" t="n">
        <f aca="false">40+2*MAX(0,$A78-10)</f>
        <v>166</v>
      </c>
      <c r="S78" s="50" t="n">
        <f aca="false">60+2*MAX(0,$A78-10)</f>
        <v>186</v>
      </c>
      <c r="T78" s="50" t="n">
        <f aca="false">40+5.5*$A78</f>
        <v>441.5</v>
      </c>
    </row>
    <row r="79" customFormat="false" ht="15" hidden="false" customHeight="true" outlineLevel="0" collapsed="false">
      <c r="A79" s="24" t="n">
        <v>74</v>
      </c>
      <c r="B79" s="53" t="n">
        <f aca="false">1+MIN(0.5,$A79*0.02)+0.01*MAX(MIN($A79,55)-25,0)+0.004*MAX(0,$A79-55)</f>
        <v>1.876</v>
      </c>
      <c r="C79" s="54" t="n">
        <f aca="false">IF($A79&gt;=12,1,0)+IF($A79&gt;=18,1,0)+IF($A79&gt;18,INT(($A79-18)/5),0)</f>
        <v>13</v>
      </c>
      <c r="D79" s="54" t="n">
        <f aca="false">IF($A79&gt;=26,1,0)+IF($A79&gt;=38,1,0)+IF($A79&gt;38,INT(($A79-38)/12),0)</f>
        <v>5</v>
      </c>
      <c r="E79" s="54" t="n">
        <f aca="false">IF($A79&gt;=25,1,0)+IF($A79&gt;=50,1,0)+MAX(0,INT(($A79-50)/25))</f>
        <v>2</v>
      </c>
      <c r="F79" s="54" t="n">
        <f aca="false">IF($A79&gt;=60,1,0)+MAX(0,INT(($A79-60)/30))</f>
        <v>1</v>
      </c>
      <c r="G79" s="55" t="n">
        <f aca="false">IF($A79&lt;=18,MAX(0.18,0.9-$A79*0.04),0.06+0.12*EXP(-($A79-18)/25))</f>
        <v>0.0727750205255103</v>
      </c>
      <c r="H79" s="54" t="n">
        <f aca="false">IF($A79&lt;36,1,IF($A79&lt;60,2,3))</f>
        <v>3</v>
      </c>
      <c r="I79" s="56" t="n">
        <f aca="false">IF($A79&lt;6,0,0.14+0.55*(1-EXP(-($A79-6)/22)))</f>
        <v>0.66499666571644</v>
      </c>
      <c r="J79" s="56" t="n">
        <f aca="false">IF($A79&lt;18,0,0.35*(1-EXP(-($A79-17)/30)))</f>
        <v>0.297650983272078</v>
      </c>
      <c r="K79" s="53" t="n">
        <f aca="false">IF($A79&lt;=15,1,1+(1-EXP(-($A79-15)/15)))</f>
        <v>1.98042169734509</v>
      </c>
      <c r="L79" s="54" t="n">
        <f aca="false">IF($A79&lt;14,0,MIN(8,1+INT(($A79-14)/9)))</f>
        <v>7</v>
      </c>
      <c r="M79" s="54" t="n">
        <f aca="false">IF($A79&lt;16,0,IF($A79&lt;40,1,2))</f>
        <v>2</v>
      </c>
      <c r="N79" s="54" t="n">
        <f aca="false">IF($A79&lt;20,0,MIN(4,1+INT(($A79-20)/12)))</f>
        <v>4</v>
      </c>
      <c r="O79" s="54" t="n">
        <f aca="false">IF($A79&lt;22,0,MIN(3,1+INT(($A79-22)/15)))</f>
        <v>3</v>
      </c>
      <c r="P79" s="54" t="n">
        <f aca="false">IF($A79&lt;28,0,IF($A79&lt;50,1,2))</f>
        <v>2</v>
      </c>
      <c r="Q79" s="54" t="n">
        <f aca="false">1+IF($A79&gt;=34,1,0)+IF($A79&gt;=60,1,0)+MAX(0,INT(($A79-60)/30))</f>
        <v>3</v>
      </c>
      <c r="R79" s="54" t="n">
        <f aca="false">40+2*MAX(0,$A79-10)</f>
        <v>168</v>
      </c>
      <c r="S79" s="54" t="n">
        <f aca="false">60+2*MAX(0,$A79-10)</f>
        <v>188</v>
      </c>
      <c r="T79" s="54" t="n">
        <f aca="false">40+5.5*$A79</f>
        <v>447</v>
      </c>
    </row>
    <row r="80" customFormat="false" ht="15" hidden="false" customHeight="true" outlineLevel="0" collapsed="false">
      <c r="A80" s="16" t="n">
        <v>75</v>
      </c>
      <c r="B80" s="49" t="n">
        <f aca="false">1+MIN(0.5,$A80*0.02)+0.01*MAX(MIN($A80,55)-25,0)+0.004*MAX(0,$A80-55)</f>
        <v>1.88</v>
      </c>
      <c r="C80" s="50" t="n">
        <f aca="false">IF($A80&gt;=12,1,0)+IF($A80&gt;=18,1,0)+IF($A80&gt;18,INT(($A80-18)/5),0)</f>
        <v>13</v>
      </c>
      <c r="D80" s="50" t="n">
        <f aca="false">IF($A80&gt;=26,1,0)+IF($A80&gt;=38,1,0)+IF($A80&gt;38,INT(($A80-38)/12),0)</f>
        <v>5</v>
      </c>
      <c r="E80" s="50" t="n">
        <f aca="false">IF($A80&gt;=25,1,0)+IF($A80&gt;=50,1,0)+MAX(0,INT(($A80-50)/25))</f>
        <v>3</v>
      </c>
      <c r="F80" s="50" t="n">
        <f aca="false">IF($A80&gt;=60,1,0)+MAX(0,INT(($A80-60)/30))</f>
        <v>1</v>
      </c>
      <c r="G80" s="51" t="n">
        <f aca="false">IF($A80&lt;=18,MAX(0.18,0.9-$A80*0.04),0.06+0.12*EXP(-($A80-18)/25))</f>
        <v>0.0722741048058645</v>
      </c>
      <c r="H80" s="50" t="n">
        <f aca="false">IF($A80&lt;36,1,IF($A80&lt;60,2,3))</f>
        <v>3</v>
      </c>
      <c r="I80" s="52" t="n">
        <f aca="false">IF($A80&lt;6,0,0.14+0.55*(1-EXP(-($A80-6)/22)))</f>
        <v>0.666107737975171</v>
      </c>
      <c r="J80" s="52" t="n">
        <f aca="false">IF($A80&lt;18,0,0.35*(1-EXP(-($A80-17)/30)))</f>
        <v>0.299367188176352</v>
      </c>
      <c r="K80" s="49" t="n">
        <f aca="false">IF($A80&lt;=15,1,1+(1-EXP(-($A80-15)/15)))</f>
        <v>1.98168436111127</v>
      </c>
      <c r="L80" s="50" t="n">
        <f aca="false">IF($A80&lt;14,0,MIN(8,1+INT(($A80-14)/9)))</f>
        <v>7</v>
      </c>
      <c r="M80" s="50" t="n">
        <f aca="false">IF($A80&lt;16,0,IF($A80&lt;40,1,2))</f>
        <v>2</v>
      </c>
      <c r="N80" s="50" t="n">
        <f aca="false">IF($A80&lt;20,0,MIN(4,1+INT(($A80-20)/12)))</f>
        <v>4</v>
      </c>
      <c r="O80" s="50" t="n">
        <f aca="false">IF($A80&lt;22,0,MIN(3,1+INT(($A80-22)/15)))</f>
        <v>3</v>
      </c>
      <c r="P80" s="50" t="n">
        <f aca="false">IF($A80&lt;28,0,IF($A80&lt;50,1,2))</f>
        <v>2</v>
      </c>
      <c r="Q80" s="50" t="n">
        <f aca="false">1+IF($A80&gt;=34,1,0)+IF($A80&gt;=60,1,0)+MAX(0,INT(($A80-60)/30))</f>
        <v>3</v>
      </c>
      <c r="R80" s="50" t="n">
        <f aca="false">40+2*MAX(0,$A80-10)</f>
        <v>170</v>
      </c>
      <c r="S80" s="50" t="n">
        <f aca="false">60+2*MAX(0,$A80-10)</f>
        <v>190</v>
      </c>
      <c r="T80" s="50" t="n">
        <f aca="false">40+5.5*$A80</f>
        <v>452.5</v>
      </c>
    </row>
    <row r="81" customFormat="false" ht="15" hidden="false" customHeight="true" outlineLevel="0" collapsed="false">
      <c r="A81" s="24" t="n">
        <v>76</v>
      </c>
      <c r="B81" s="53" t="n">
        <f aca="false">1+MIN(0.5,$A81*0.02)+0.01*MAX(MIN($A81,55)-25,0)+0.004*MAX(0,$A81-55)</f>
        <v>1.884</v>
      </c>
      <c r="C81" s="54" t="n">
        <f aca="false">IF($A81&gt;=12,1,0)+IF($A81&gt;=18,1,0)+IF($A81&gt;18,INT(($A81-18)/5),0)</f>
        <v>13</v>
      </c>
      <c r="D81" s="54" t="n">
        <f aca="false">IF($A81&gt;=26,1,0)+IF($A81&gt;=38,1,0)+IF($A81&gt;38,INT(($A81-38)/12),0)</f>
        <v>5</v>
      </c>
      <c r="E81" s="54" t="n">
        <f aca="false">IF($A81&gt;=25,1,0)+IF($A81&gt;=50,1,0)+MAX(0,INT(($A81-50)/25))</f>
        <v>3</v>
      </c>
      <c r="F81" s="54" t="n">
        <f aca="false">IF($A81&gt;=60,1,0)+MAX(0,INT(($A81-60)/30))</f>
        <v>1</v>
      </c>
      <c r="G81" s="55" t="n">
        <f aca="false">IF($A81&lt;=18,MAX(0.18,0.9-$A81*0.04),0.06+0.12*EXP(-($A81-18)/25))</f>
        <v>0.0717928302725234</v>
      </c>
      <c r="H81" s="54" t="n">
        <f aca="false">IF($A81&lt;36,1,IF($A81&lt;60,2,3))</f>
        <v>3</v>
      </c>
      <c r="I81" s="56" t="n">
        <f aca="false">IF($A81&lt;6,0,0.14+0.55*(1-EXP(-($A81-6)/22)))</f>
        <v>0.667169437556237</v>
      </c>
      <c r="J81" s="56" t="n">
        <f aca="false">IF($A81&lt;18,0,0.35*(1-EXP(-($A81-17)/30)))</f>
        <v>0.301027129191492</v>
      </c>
      <c r="K81" s="53" t="n">
        <f aca="false">IF($A81&lt;=15,1,1+(1-EXP(-($A81-15)/15)))</f>
        <v>1.98286559188427</v>
      </c>
      <c r="L81" s="54" t="n">
        <f aca="false">IF($A81&lt;14,0,MIN(8,1+INT(($A81-14)/9)))</f>
        <v>7</v>
      </c>
      <c r="M81" s="54" t="n">
        <f aca="false">IF($A81&lt;16,0,IF($A81&lt;40,1,2))</f>
        <v>2</v>
      </c>
      <c r="N81" s="54" t="n">
        <f aca="false">IF($A81&lt;20,0,MIN(4,1+INT(($A81-20)/12)))</f>
        <v>4</v>
      </c>
      <c r="O81" s="54" t="n">
        <f aca="false">IF($A81&lt;22,0,MIN(3,1+INT(($A81-22)/15)))</f>
        <v>3</v>
      </c>
      <c r="P81" s="54" t="n">
        <f aca="false">IF($A81&lt;28,0,IF($A81&lt;50,1,2))</f>
        <v>2</v>
      </c>
      <c r="Q81" s="54" t="n">
        <f aca="false">1+IF($A81&gt;=34,1,0)+IF($A81&gt;=60,1,0)+MAX(0,INT(($A81-60)/30))</f>
        <v>3</v>
      </c>
      <c r="R81" s="54" t="n">
        <f aca="false">40+2*MAX(0,$A81-10)</f>
        <v>172</v>
      </c>
      <c r="S81" s="54" t="n">
        <f aca="false">60+2*MAX(0,$A81-10)</f>
        <v>192</v>
      </c>
      <c r="T81" s="54" t="n">
        <f aca="false">40+5.5*$A81</f>
        <v>458</v>
      </c>
    </row>
    <row r="82" customFormat="false" ht="15" hidden="false" customHeight="true" outlineLevel="0" collapsed="false">
      <c r="A82" s="16" t="n">
        <v>77</v>
      </c>
      <c r="B82" s="49" t="n">
        <f aca="false">1+MIN(0.5,$A82*0.02)+0.01*MAX(MIN($A82,55)-25,0)+0.004*MAX(0,$A82-55)</f>
        <v>1.888</v>
      </c>
      <c r="C82" s="50" t="n">
        <f aca="false">IF($A82&gt;=12,1,0)+IF($A82&gt;=18,1,0)+IF($A82&gt;18,INT(($A82-18)/5),0)</f>
        <v>13</v>
      </c>
      <c r="D82" s="50" t="n">
        <f aca="false">IF($A82&gt;=26,1,0)+IF($A82&gt;=38,1,0)+IF($A82&gt;38,INT(($A82-38)/12),0)</f>
        <v>5</v>
      </c>
      <c r="E82" s="50" t="n">
        <f aca="false">IF($A82&gt;=25,1,0)+IF($A82&gt;=50,1,0)+MAX(0,INT(($A82-50)/25))</f>
        <v>3</v>
      </c>
      <c r="F82" s="50" t="n">
        <f aca="false">IF($A82&gt;=60,1,0)+MAX(0,INT(($A82-60)/30))</f>
        <v>1</v>
      </c>
      <c r="G82" s="51" t="n">
        <f aca="false">IF($A82&lt;=18,MAX(0.18,0.9-$A82*0.04),0.06+0.12*EXP(-($A82-18)/25))</f>
        <v>0.0713304267835563</v>
      </c>
      <c r="H82" s="50" t="n">
        <f aca="false">IF($A82&lt;36,1,IF($A82&lt;60,2,3))</f>
        <v>3</v>
      </c>
      <c r="I82" s="52" t="n">
        <f aca="false">IF($A82&lt;6,0,0.14+0.55*(1-EXP(-($A82-6)/22)))</f>
        <v>0.668183958431525</v>
      </c>
      <c r="J82" s="52" t="n">
        <f aca="false">IF($A82&lt;18,0,0.35*(1-EXP(-($A82-17)/30)))</f>
        <v>0.302632650867186</v>
      </c>
      <c r="K82" s="49" t="n">
        <f aca="false">IF($A82&lt;=15,1,1+(1-EXP(-($A82-15)/15)))</f>
        <v>1.98397064152335</v>
      </c>
      <c r="L82" s="50" t="n">
        <f aca="false">IF($A82&lt;14,0,MIN(8,1+INT(($A82-14)/9)))</f>
        <v>8</v>
      </c>
      <c r="M82" s="50" t="n">
        <f aca="false">IF($A82&lt;16,0,IF($A82&lt;40,1,2))</f>
        <v>2</v>
      </c>
      <c r="N82" s="50" t="n">
        <f aca="false">IF($A82&lt;20,0,MIN(4,1+INT(($A82-20)/12)))</f>
        <v>4</v>
      </c>
      <c r="O82" s="50" t="n">
        <f aca="false">IF($A82&lt;22,0,MIN(3,1+INT(($A82-22)/15)))</f>
        <v>3</v>
      </c>
      <c r="P82" s="50" t="n">
        <f aca="false">IF($A82&lt;28,0,IF($A82&lt;50,1,2))</f>
        <v>2</v>
      </c>
      <c r="Q82" s="50" t="n">
        <f aca="false">1+IF($A82&gt;=34,1,0)+IF($A82&gt;=60,1,0)+MAX(0,INT(($A82-60)/30))</f>
        <v>3</v>
      </c>
      <c r="R82" s="50" t="n">
        <f aca="false">40+2*MAX(0,$A82-10)</f>
        <v>174</v>
      </c>
      <c r="S82" s="50" t="n">
        <f aca="false">60+2*MAX(0,$A82-10)</f>
        <v>194</v>
      </c>
      <c r="T82" s="50" t="n">
        <f aca="false">40+5.5*$A82</f>
        <v>463.5</v>
      </c>
    </row>
    <row r="83" customFormat="false" ht="15" hidden="false" customHeight="true" outlineLevel="0" collapsed="false">
      <c r="A83" s="24" t="n">
        <v>78</v>
      </c>
      <c r="B83" s="53" t="n">
        <f aca="false">1+MIN(0.5,$A83*0.02)+0.01*MAX(MIN($A83,55)-25,0)+0.004*MAX(0,$A83-55)</f>
        <v>1.892</v>
      </c>
      <c r="C83" s="54" t="n">
        <f aca="false">IF($A83&gt;=12,1,0)+IF($A83&gt;=18,1,0)+IF($A83&gt;18,INT(($A83-18)/5),0)</f>
        <v>14</v>
      </c>
      <c r="D83" s="54" t="n">
        <f aca="false">IF($A83&gt;=26,1,0)+IF($A83&gt;=38,1,0)+IF($A83&gt;38,INT(($A83-38)/12),0)</f>
        <v>5</v>
      </c>
      <c r="E83" s="54" t="n">
        <f aca="false">IF($A83&gt;=25,1,0)+IF($A83&gt;=50,1,0)+MAX(0,INT(($A83-50)/25))</f>
        <v>3</v>
      </c>
      <c r="F83" s="54" t="n">
        <f aca="false">IF($A83&gt;=60,1,0)+MAX(0,INT(($A83-60)/30))</f>
        <v>1</v>
      </c>
      <c r="G83" s="55" t="n">
        <f aca="false">IF($A83&lt;=18,MAX(0.18,0.9-$A83*0.04),0.06+0.12*EXP(-($A83-18)/25))</f>
        <v>0.0708861543947295</v>
      </c>
      <c r="H83" s="54" t="n">
        <f aca="false">IF($A83&lt;36,1,IF($A83&lt;60,2,3))</f>
        <v>3</v>
      </c>
      <c r="I83" s="56" t="n">
        <f aca="false">IF($A83&lt;6,0,0.14+0.55*(1-EXP(-($A83-6)/22)))</f>
        <v>0.669153397079473</v>
      </c>
      <c r="J83" s="56" t="n">
        <f aca="false">IF($A83&lt;18,0,0.35*(1-EXP(-($A83-17)/30)))</f>
        <v>0.30418553728159</v>
      </c>
      <c r="K83" s="53" t="n">
        <f aca="false">IF($A83&lt;=15,1,1+(1-EXP(-($A83-15)/15)))</f>
        <v>1.98500442317952</v>
      </c>
      <c r="L83" s="54" t="n">
        <f aca="false">IF($A83&lt;14,0,MIN(8,1+INT(($A83-14)/9)))</f>
        <v>8</v>
      </c>
      <c r="M83" s="54" t="n">
        <f aca="false">IF($A83&lt;16,0,IF($A83&lt;40,1,2))</f>
        <v>2</v>
      </c>
      <c r="N83" s="54" t="n">
        <f aca="false">IF($A83&lt;20,0,MIN(4,1+INT(($A83-20)/12)))</f>
        <v>4</v>
      </c>
      <c r="O83" s="54" t="n">
        <f aca="false">IF($A83&lt;22,0,MIN(3,1+INT(($A83-22)/15)))</f>
        <v>3</v>
      </c>
      <c r="P83" s="54" t="n">
        <f aca="false">IF($A83&lt;28,0,IF($A83&lt;50,1,2))</f>
        <v>2</v>
      </c>
      <c r="Q83" s="54" t="n">
        <f aca="false">1+IF($A83&gt;=34,1,0)+IF($A83&gt;=60,1,0)+MAX(0,INT(($A83-60)/30))</f>
        <v>3</v>
      </c>
      <c r="R83" s="54" t="n">
        <f aca="false">40+2*MAX(0,$A83-10)</f>
        <v>176</v>
      </c>
      <c r="S83" s="54" t="n">
        <f aca="false">60+2*MAX(0,$A83-10)</f>
        <v>196</v>
      </c>
      <c r="T83" s="54" t="n">
        <f aca="false">40+5.5*$A83</f>
        <v>469</v>
      </c>
    </row>
    <row r="84" customFormat="false" ht="15" hidden="false" customHeight="true" outlineLevel="0" collapsed="false">
      <c r="A84" s="16" t="n">
        <v>79</v>
      </c>
      <c r="B84" s="49" t="n">
        <f aca="false">1+MIN(0.5,$A84*0.02)+0.01*MAX(MIN($A84,55)-25,0)+0.004*MAX(0,$A84-55)</f>
        <v>1.896</v>
      </c>
      <c r="C84" s="50" t="n">
        <f aca="false">IF($A84&gt;=12,1,0)+IF($A84&gt;=18,1,0)+IF($A84&gt;18,INT(($A84-18)/5),0)</f>
        <v>14</v>
      </c>
      <c r="D84" s="50" t="n">
        <f aca="false">IF($A84&gt;=26,1,0)+IF($A84&gt;=38,1,0)+IF($A84&gt;38,INT(($A84-38)/12),0)</f>
        <v>5</v>
      </c>
      <c r="E84" s="50" t="n">
        <f aca="false">IF($A84&gt;=25,1,0)+IF($A84&gt;=50,1,0)+MAX(0,INT(($A84-50)/25))</f>
        <v>3</v>
      </c>
      <c r="F84" s="50" t="n">
        <f aca="false">IF($A84&gt;=60,1,0)+MAX(0,INT(($A84-60)/30))</f>
        <v>1</v>
      </c>
      <c r="G84" s="51" t="n">
        <f aca="false">IF($A84&lt;=18,MAX(0.18,0.9-$A84*0.04),0.06+0.12*EXP(-($A84-18)/25))</f>
        <v>0.0704593021754378</v>
      </c>
      <c r="H84" s="50" t="n">
        <f aca="false">IF($A84&lt;36,1,IF($A84&lt;60,2,3))</f>
        <v>3</v>
      </c>
      <c r="I84" s="52" t="n">
        <f aca="false">IF($A84&lt;6,0,0.14+0.55*(1-EXP(-($A84-6)/22)))</f>
        <v>0.670079756817382</v>
      </c>
      <c r="J84" s="52" t="n">
        <f aca="false">IF($A84&lt;18,0,0.35*(1-EXP(-($A84-17)/30)))</f>
        <v>0.305687514023821</v>
      </c>
      <c r="K84" s="49" t="n">
        <f aca="false">IF($A84&lt;=15,1,1+(1-EXP(-($A84-15)/15)))</f>
        <v>1.98597153313986</v>
      </c>
      <c r="L84" s="50" t="n">
        <f aca="false">IF($A84&lt;14,0,MIN(8,1+INT(($A84-14)/9)))</f>
        <v>8</v>
      </c>
      <c r="M84" s="50" t="n">
        <f aca="false">IF($A84&lt;16,0,IF($A84&lt;40,1,2))</f>
        <v>2</v>
      </c>
      <c r="N84" s="50" t="n">
        <f aca="false">IF($A84&lt;20,0,MIN(4,1+INT(($A84-20)/12)))</f>
        <v>4</v>
      </c>
      <c r="O84" s="50" t="n">
        <f aca="false">IF($A84&lt;22,0,MIN(3,1+INT(($A84-22)/15)))</f>
        <v>3</v>
      </c>
      <c r="P84" s="50" t="n">
        <f aca="false">IF($A84&lt;28,0,IF($A84&lt;50,1,2))</f>
        <v>2</v>
      </c>
      <c r="Q84" s="50" t="n">
        <f aca="false">1+IF($A84&gt;=34,1,0)+IF($A84&gt;=60,1,0)+MAX(0,INT(($A84-60)/30))</f>
        <v>3</v>
      </c>
      <c r="R84" s="50" t="n">
        <f aca="false">40+2*MAX(0,$A84-10)</f>
        <v>178</v>
      </c>
      <c r="S84" s="50" t="n">
        <f aca="false">60+2*MAX(0,$A84-10)</f>
        <v>198</v>
      </c>
      <c r="T84" s="50" t="n">
        <f aca="false">40+5.5*$A84</f>
        <v>474.5</v>
      </c>
    </row>
    <row r="85" customFormat="false" ht="15" hidden="false" customHeight="true" outlineLevel="0" collapsed="false">
      <c r="A85" s="24" t="n">
        <v>80</v>
      </c>
      <c r="B85" s="53" t="n">
        <f aca="false">1+MIN(0.5,$A85*0.02)+0.01*MAX(MIN($A85,55)-25,0)+0.004*MAX(0,$A85-55)</f>
        <v>1.9</v>
      </c>
      <c r="C85" s="54" t="n">
        <f aca="false">IF($A85&gt;=12,1,0)+IF($A85&gt;=18,1,0)+IF($A85&gt;18,INT(($A85-18)/5),0)</f>
        <v>14</v>
      </c>
      <c r="D85" s="54" t="n">
        <f aca="false">IF($A85&gt;=26,1,0)+IF($A85&gt;=38,1,0)+IF($A85&gt;38,INT(($A85-38)/12),0)</f>
        <v>5</v>
      </c>
      <c r="E85" s="54" t="n">
        <f aca="false">IF($A85&gt;=25,1,0)+IF($A85&gt;=50,1,0)+MAX(0,INT(($A85-50)/25))</f>
        <v>3</v>
      </c>
      <c r="F85" s="54" t="n">
        <f aca="false">IF($A85&gt;=60,1,0)+MAX(0,INT(($A85-60)/30))</f>
        <v>1</v>
      </c>
      <c r="G85" s="55" t="n">
        <f aca="false">IF($A85&lt;=18,MAX(0.18,0.9-$A85*0.04),0.06+0.12*EXP(-($A85-18)/25))</f>
        <v>0.0700491870710635</v>
      </c>
      <c r="H85" s="54" t="n">
        <f aca="false">IF($A85&lt;36,1,IF($A85&lt;60,2,3))</f>
        <v>3</v>
      </c>
      <c r="I85" s="56" t="n">
        <f aca="false">IF($A85&lt;6,0,0.14+0.55*(1-EXP(-($A85-6)/22)))</f>
        <v>0.670964951941215</v>
      </c>
      <c r="J85" s="56" t="n">
        <f aca="false">IF($A85&lt;18,0,0.35*(1-EXP(-($A85-17)/30)))</f>
        <v>0.307140250111456</v>
      </c>
      <c r="K85" s="53" t="n">
        <f aca="false">IF($A85&lt;=15,1,1+(1-EXP(-($A85-15)/15)))</f>
        <v>1.98687627126306</v>
      </c>
      <c r="L85" s="54" t="n">
        <f aca="false">IF($A85&lt;14,0,MIN(8,1+INT(($A85-14)/9)))</f>
        <v>8</v>
      </c>
      <c r="M85" s="54" t="n">
        <f aca="false">IF($A85&lt;16,0,IF($A85&lt;40,1,2))</f>
        <v>2</v>
      </c>
      <c r="N85" s="54" t="n">
        <f aca="false">IF($A85&lt;20,0,MIN(4,1+INT(($A85-20)/12)))</f>
        <v>4</v>
      </c>
      <c r="O85" s="54" t="n">
        <f aca="false">IF($A85&lt;22,0,MIN(3,1+INT(($A85-22)/15)))</f>
        <v>3</v>
      </c>
      <c r="P85" s="54" t="n">
        <f aca="false">IF($A85&lt;28,0,IF($A85&lt;50,1,2))</f>
        <v>2</v>
      </c>
      <c r="Q85" s="54" t="n">
        <f aca="false">1+IF($A85&gt;=34,1,0)+IF($A85&gt;=60,1,0)+MAX(0,INT(($A85-60)/30))</f>
        <v>3</v>
      </c>
      <c r="R85" s="54" t="n">
        <f aca="false">40+2*MAX(0,$A85-10)</f>
        <v>180</v>
      </c>
      <c r="S85" s="54" t="n">
        <f aca="false">60+2*MAX(0,$A85-10)</f>
        <v>200</v>
      </c>
      <c r="T85" s="54" t="n">
        <f aca="false">40+5.5*$A85</f>
        <v>480</v>
      </c>
    </row>
    <row r="86" customFormat="false" ht="15" hidden="false" customHeight="true" outlineLevel="0" collapsed="false">
      <c r="A86" s="16" t="n">
        <v>81</v>
      </c>
      <c r="B86" s="49" t="n">
        <f aca="false">1+MIN(0.5,$A86*0.02)+0.01*MAX(MIN($A86,55)-25,0)+0.004*MAX(0,$A86-55)</f>
        <v>1.904</v>
      </c>
      <c r="C86" s="50" t="n">
        <f aca="false">IF($A86&gt;=12,1,0)+IF($A86&gt;=18,1,0)+IF($A86&gt;18,INT(($A86-18)/5),0)</f>
        <v>14</v>
      </c>
      <c r="D86" s="50" t="n">
        <f aca="false">IF($A86&gt;=26,1,0)+IF($A86&gt;=38,1,0)+IF($A86&gt;38,INT(($A86-38)/12),0)</f>
        <v>5</v>
      </c>
      <c r="E86" s="50" t="n">
        <f aca="false">IF($A86&gt;=25,1,0)+IF($A86&gt;=50,1,0)+MAX(0,INT(($A86-50)/25))</f>
        <v>3</v>
      </c>
      <c r="F86" s="50" t="n">
        <f aca="false">IF($A86&gt;=60,1,0)+MAX(0,INT(($A86-60)/30))</f>
        <v>1</v>
      </c>
      <c r="G86" s="51" t="n">
        <f aca="false">IF($A86&lt;=18,MAX(0.18,0.9-$A86*0.04),0.06+0.12*EXP(-($A86-18)/25))</f>
        <v>0.0696551528099439</v>
      </c>
      <c r="H86" s="50" t="n">
        <f aca="false">IF($A86&lt;36,1,IF($A86&lt;60,2,3))</f>
        <v>3</v>
      </c>
      <c r="I86" s="52" t="n">
        <f aca="false">IF($A86&lt;6,0,0.14+0.55*(1-EXP(-($A86-6)/22)))</f>
        <v>0.671810811681435</v>
      </c>
      <c r="J86" s="52" t="n">
        <f aca="false">IF($A86&lt;18,0,0.35*(1-EXP(-($A86-17)/30)))</f>
        <v>0.308545359845169</v>
      </c>
      <c r="K86" s="49" t="n">
        <f aca="false">IF($A86&lt;=15,1,1+(1-EXP(-($A86-15)/15)))</f>
        <v>1.98772266009693</v>
      </c>
      <c r="L86" s="50" t="n">
        <f aca="false">IF($A86&lt;14,0,MIN(8,1+INT(($A86-14)/9)))</f>
        <v>8</v>
      </c>
      <c r="M86" s="50" t="n">
        <f aca="false">IF($A86&lt;16,0,IF($A86&lt;40,1,2))</f>
        <v>2</v>
      </c>
      <c r="N86" s="50" t="n">
        <f aca="false">IF($A86&lt;20,0,MIN(4,1+INT(($A86-20)/12)))</f>
        <v>4</v>
      </c>
      <c r="O86" s="50" t="n">
        <f aca="false">IF($A86&lt;22,0,MIN(3,1+INT(($A86-22)/15)))</f>
        <v>3</v>
      </c>
      <c r="P86" s="50" t="n">
        <f aca="false">IF($A86&lt;28,0,IF($A86&lt;50,1,2))</f>
        <v>2</v>
      </c>
      <c r="Q86" s="50" t="n">
        <f aca="false">1+IF($A86&gt;=34,1,0)+IF($A86&gt;=60,1,0)+MAX(0,INT(($A86-60)/30))</f>
        <v>3</v>
      </c>
      <c r="R86" s="50" t="n">
        <f aca="false">40+2*MAX(0,$A86-10)</f>
        <v>182</v>
      </c>
      <c r="S86" s="50" t="n">
        <f aca="false">60+2*MAX(0,$A86-10)</f>
        <v>202</v>
      </c>
      <c r="T86" s="50" t="n">
        <f aca="false">40+5.5*$A86</f>
        <v>485.5</v>
      </c>
    </row>
    <row r="87" customFormat="false" ht="15" hidden="false" customHeight="true" outlineLevel="0" collapsed="false">
      <c r="A87" s="24" t="n">
        <v>82</v>
      </c>
      <c r="B87" s="53" t="n">
        <f aca="false">1+MIN(0.5,$A87*0.02)+0.01*MAX(MIN($A87,55)-25,0)+0.004*MAX(0,$A87-55)</f>
        <v>1.908</v>
      </c>
      <c r="C87" s="54" t="n">
        <f aca="false">IF($A87&gt;=12,1,0)+IF($A87&gt;=18,1,0)+IF($A87&gt;18,INT(($A87-18)/5),0)</f>
        <v>14</v>
      </c>
      <c r="D87" s="54" t="n">
        <f aca="false">IF($A87&gt;=26,1,0)+IF($A87&gt;=38,1,0)+IF($A87&gt;38,INT(($A87-38)/12),0)</f>
        <v>5</v>
      </c>
      <c r="E87" s="54" t="n">
        <f aca="false">IF($A87&gt;=25,1,0)+IF($A87&gt;=50,1,0)+MAX(0,INT(($A87-50)/25))</f>
        <v>3</v>
      </c>
      <c r="F87" s="54" t="n">
        <f aca="false">IF($A87&gt;=60,1,0)+MAX(0,INT(($A87-60)/30))</f>
        <v>1</v>
      </c>
      <c r="G87" s="55" t="n">
        <f aca="false">IF($A87&lt;=18,MAX(0.18,0.9-$A87*0.04),0.06+0.12*EXP(-($A87-18)/25))</f>
        <v>0.069276568853196</v>
      </c>
      <c r="H87" s="54" t="n">
        <f aca="false">IF($A87&lt;36,1,IF($A87&lt;60,2,3))</f>
        <v>3</v>
      </c>
      <c r="I87" s="56" t="n">
        <f aca="false">IF($A87&lt;6,0,0.14+0.55*(1-EXP(-($A87-6)/22)))</f>
        <v>0.672619083983056</v>
      </c>
      <c r="J87" s="56" t="n">
        <f aca="false">IF($A87&lt;18,0,0.35*(1-EXP(-($A87-17)/30)))</f>
        <v>0.309904404602559</v>
      </c>
      <c r="K87" s="53" t="n">
        <f aca="false">IF($A87&lt;=15,1,1+(1-EXP(-($A87-15)/15)))</f>
        <v>1.98851446276307</v>
      </c>
      <c r="L87" s="54" t="n">
        <f aca="false">IF($A87&lt;14,0,MIN(8,1+INT(($A87-14)/9)))</f>
        <v>8</v>
      </c>
      <c r="M87" s="54" t="n">
        <f aca="false">IF($A87&lt;16,0,IF($A87&lt;40,1,2))</f>
        <v>2</v>
      </c>
      <c r="N87" s="54" t="n">
        <f aca="false">IF($A87&lt;20,0,MIN(4,1+INT(($A87-20)/12)))</f>
        <v>4</v>
      </c>
      <c r="O87" s="54" t="n">
        <f aca="false">IF($A87&lt;22,0,MIN(3,1+INT(($A87-22)/15)))</f>
        <v>3</v>
      </c>
      <c r="P87" s="54" t="n">
        <f aca="false">IF($A87&lt;28,0,IF($A87&lt;50,1,2))</f>
        <v>2</v>
      </c>
      <c r="Q87" s="54" t="n">
        <f aca="false">1+IF($A87&gt;=34,1,0)+IF($A87&gt;=60,1,0)+MAX(0,INT(($A87-60)/30))</f>
        <v>3</v>
      </c>
      <c r="R87" s="54" t="n">
        <f aca="false">40+2*MAX(0,$A87-10)</f>
        <v>184</v>
      </c>
      <c r="S87" s="54" t="n">
        <f aca="false">60+2*MAX(0,$A87-10)</f>
        <v>204</v>
      </c>
      <c r="T87" s="54" t="n">
        <f aca="false">40+5.5*$A87</f>
        <v>491</v>
      </c>
    </row>
    <row r="88" customFormat="false" ht="15" hidden="false" customHeight="true" outlineLevel="0" collapsed="false">
      <c r="A88" s="16" t="n">
        <v>83</v>
      </c>
      <c r="B88" s="49" t="n">
        <f aca="false">1+MIN(0.5,$A88*0.02)+0.01*MAX(MIN($A88,55)-25,0)+0.004*MAX(0,$A88-55)</f>
        <v>1.912</v>
      </c>
      <c r="C88" s="50" t="n">
        <f aca="false">IF($A88&gt;=12,1,0)+IF($A88&gt;=18,1,0)+IF($A88&gt;18,INT(($A88-18)/5),0)</f>
        <v>15</v>
      </c>
      <c r="D88" s="50" t="n">
        <f aca="false">IF($A88&gt;=26,1,0)+IF($A88&gt;=38,1,0)+IF($A88&gt;38,INT(($A88-38)/12),0)</f>
        <v>5</v>
      </c>
      <c r="E88" s="50" t="n">
        <f aca="false">IF($A88&gt;=25,1,0)+IF($A88&gt;=50,1,0)+MAX(0,INT(($A88-50)/25))</f>
        <v>3</v>
      </c>
      <c r="F88" s="50" t="n">
        <f aca="false">IF($A88&gt;=60,1,0)+MAX(0,INT(($A88-60)/30))</f>
        <v>1</v>
      </c>
      <c r="G88" s="51" t="n">
        <f aca="false">IF($A88&lt;=18,MAX(0.18,0.9-$A88*0.04),0.06+0.12*EXP(-($A88-18)/25))</f>
        <v>0.0689128293857201</v>
      </c>
      <c r="H88" s="50" t="n">
        <f aca="false">IF($A88&lt;36,1,IF($A88&lt;60,2,3))</f>
        <v>3</v>
      </c>
      <c r="I88" s="52" t="n">
        <f aca="false">IF($A88&lt;6,0,0.14+0.55*(1-EXP(-($A88-6)/22)))</f>
        <v>0.673391439117725</v>
      </c>
      <c r="J88" s="52" t="n">
        <f aca="false">IF($A88&lt;18,0,0.35*(1-EXP(-($A88-17)/30)))</f>
        <v>0.311218894573183</v>
      </c>
      <c r="K88" s="49" t="n">
        <f aca="false">IF($A88&lt;=15,1,1+(1-EXP(-($A88-15)/15)))</f>
        <v>1.98925519968801</v>
      </c>
      <c r="L88" s="50" t="n">
        <f aca="false">IF($A88&lt;14,0,MIN(8,1+INT(($A88-14)/9)))</f>
        <v>8</v>
      </c>
      <c r="M88" s="50" t="n">
        <f aca="false">IF($A88&lt;16,0,IF($A88&lt;40,1,2))</f>
        <v>2</v>
      </c>
      <c r="N88" s="50" t="n">
        <f aca="false">IF($A88&lt;20,0,MIN(4,1+INT(($A88-20)/12)))</f>
        <v>4</v>
      </c>
      <c r="O88" s="50" t="n">
        <f aca="false">IF($A88&lt;22,0,MIN(3,1+INT(($A88-22)/15)))</f>
        <v>3</v>
      </c>
      <c r="P88" s="50" t="n">
        <f aca="false">IF($A88&lt;28,0,IF($A88&lt;50,1,2))</f>
        <v>2</v>
      </c>
      <c r="Q88" s="50" t="n">
        <f aca="false">1+IF($A88&gt;=34,1,0)+IF($A88&gt;=60,1,0)+MAX(0,INT(($A88-60)/30))</f>
        <v>3</v>
      </c>
      <c r="R88" s="50" t="n">
        <f aca="false">40+2*MAX(0,$A88-10)</f>
        <v>186</v>
      </c>
      <c r="S88" s="50" t="n">
        <f aca="false">60+2*MAX(0,$A88-10)</f>
        <v>206</v>
      </c>
      <c r="T88" s="50" t="n">
        <f aca="false">40+5.5*$A88</f>
        <v>496.5</v>
      </c>
    </row>
    <row r="89" customFormat="false" ht="15" hidden="false" customHeight="true" outlineLevel="0" collapsed="false">
      <c r="A89" s="24" t="n">
        <v>84</v>
      </c>
      <c r="B89" s="53" t="n">
        <f aca="false">1+MIN(0.5,$A89*0.02)+0.01*MAX(MIN($A89,55)-25,0)+0.004*MAX(0,$A89-55)</f>
        <v>1.916</v>
      </c>
      <c r="C89" s="54" t="n">
        <f aca="false">IF($A89&gt;=12,1,0)+IF($A89&gt;=18,1,0)+IF($A89&gt;18,INT(($A89-18)/5),0)</f>
        <v>15</v>
      </c>
      <c r="D89" s="54" t="n">
        <f aca="false">IF($A89&gt;=26,1,0)+IF($A89&gt;=38,1,0)+IF($A89&gt;38,INT(($A89-38)/12),0)</f>
        <v>5</v>
      </c>
      <c r="E89" s="54" t="n">
        <f aca="false">IF($A89&gt;=25,1,0)+IF($A89&gt;=50,1,0)+MAX(0,INT(($A89-50)/25))</f>
        <v>3</v>
      </c>
      <c r="F89" s="54" t="n">
        <f aca="false">IF($A89&gt;=60,1,0)+MAX(0,INT(($A89-60)/30))</f>
        <v>1</v>
      </c>
      <c r="G89" s="55" t="n">
        <f aca="false">IF($A89&lt;=18,MAX(0.18,0.9-$A89*0.04),0.06+0.12*EXP(-($A89-18)/25))</f>
        <v>0.0685633523467663</v>
      </c>
      <c r="H89" s="54" t="n">
        <f aca="false">IF($A89&lt;36,1,IF($A89&lt;60,2,3))</f>
        <v>3</v>
      </c>
      <c r="I89" s="56" t="n">
        <f aca="false">IF($A89&lt;6,0,0.14+0.55*(1-EXP(-($A89-6)/22)))</f>
        <v>0.674129473135287</v>
      </c>
      <c r="J89" s="56" t="n">
        <f aca="false">IF($A89&lt;18,0,0.35*(1-EXP(-($A89-17)/30)))</f>
        <v>0.312490290436693</v>
      </c>
      <c r="K89" s="53" t="n">
        <f aca="false">IF($A89&lt;=15,1,1+(1-EXP(-($A89-15)/15)))</f>
        <v>1.98994816425537</v>
      </c>
      <c r="L89" s="54" t="n">
        <f aca="false">IF($A89&lt;14,0,MIN(8,1+INT(($A89-14)/9)))</f>
        <v>8</v>
      </c>
      <c r="M89" s="54" t="n">
        <f aca="false">IF($A89&lt;16,0,IF($A89&lt;40,1,2))</f>
        <v>2</v>
      </c>
      <c r="N89" s="54" t="n">
        <f aca="false">IF($A89&lt;20,0,MIN(4,1+INT(($A89-20)/12)))</f>
        <v>4</v>
      </c>
      <c r="O89" s="54" t="n">
        <f aca="false">IF($A89&lt;22,0,MIN(3,1+INT(($A89-22)/15)))</f>
        <v>3</v>
      </c>
      <c r="P89" s="54" t="n">
        <f aca="false">IF($A89&lt;28,0,IF($A89&lt;50,1,2))</f>
        <v>2</v>
      </c>
      <c r="Q89" s="54" t="n">
        <f aca="false">1+IF($A89&gt;=34,1,0)+IF($A89&gt;=60,1,0)+MAX(0,INT(($A89-60)/30))</f>
        <v>3</v>
      </c>
      <c r="R89" s="54" t="n">
        <f aca="false">40+2*MAX(0,$A89-10)</f>
        <v>188</v>
      </c>
      <c r="S89" s="54" t="n">
        <f aca="false">60+2*MAX(0,$A89-10)</f>
        <v>208</v>
      </c>
      <c r="T89" s="54" t="n">
        <f aca="false">40+5.5*$A89</f>
        <v>502</v>
      </c>
    </row>
    <row r="90" customFormat="false" ht="15" hidden="false" customHeight="true" outlineLevel="0" collapsed="false">
      <c r="A90" s="16" t="n">
        <v>85</v>
      </c>
      <c r="B90" s="49" t="n">
        <f aca="false">1+MIN(0.5,$A90*0.02)+0.01*MAX(MIN($A90,55)-25,0)+0.004*MAX(0,$A90-55)</f>
        <v>1.92</v>
      </c>
      <c r="C90" s="50" t="n">
        <f aca="false">IF($A90&gt;=12,1,0)+IF($A90&gt;=18,1,0)+IF($A90&gt;18,INT(($A90-18)/5),0)</f>
        <v>15</v>
      </c>
      <c r="D90" s="50" t="n">
        <f aca="false">IF($A90&gt;=26,1,0)+IF($A90&gt;=38,1,0)+IF($A90&gt;38,INT(($A90-38)/12),0)</f>
        <v>5</v>
      </c>
      <c r="E90" s="50" t="n">
        <f aca="false">IF($A90&gt;=25,1,0)+IF($A90&gt;=50,1,0)+MAX(0,INT(($A90-50)/25))</f>
        <v>3</v>
      </c>
      <c r="F90" s="50" t="n">
        <f aca="false">IF($A90&gt;=60,1,0)+MAX(0,INT(($A90-60)/30))</f>
        <v>1</v>
      </c>
      <c r="G90" s="51" t="n">
        <f aca="false">IF($A90&lt;=18,MAX(0.18,0.9-$A90*0.04),0.06+0.12*EXP(-($A90-18)/25))</f>
        <v>0.0682275784985134</v>
      </c>
      <c r="H90" s="50" t="n">
        <f aca="false">IF($A90&lt;36,1,IF($A90&lt;60,2,3))</f>
        <v>3</v>
      </c>
      <c r="I90" s="52" t="n">
        <f aca="false">IF($A90&lt;6,0,0.14+0.55*(1-EXP(-($A90-6)/22)))</f>
        <v>0.674834711161977</v>
      </c>
      <c r="J90" s="52" t="n">
        <f aca="false">IF($A90&lt;18,0,0.35*(1-EXP(-($A90-17)/30)))</f>
        <v>0.313720004985965</v>
      </c>
      <c r="K90" s="49" t="n">
        <f aca="false">IF($A90&lt;=15,1,1+(1-EXP(-($A90-15)/15)))</f>
        <v>1.9905964374485</v>
      </c>
      <c r="L90" s="50" t="n">
        <f aca="false">IF($A90&lt;14,0,MIN(8,1+INT(($A90-14)/9)))</f>
        <v>8</v>
      </c>
      <c r="M90" s="50" t="n">
        <f aca="false">IF($A90&lt;16,0,IF($A90&lt;40,1,2))</f>
        <v>2</v>
      </c>
      <c r="N90" s="50" t="n">
        <f aca="false">IF($A90&lt;20,0,MIN(4,1+INT(($A90-20)/12)))</f>
        <v>4</v>
      </c>
      <c r="O90" s="50" t="n">
        <f aca="false">IF($A90&lt;22,0,MIN(3,1+INT(($A90-22)/15)))</f>
        <v>3</v>
      </c>
      <c r="P90" s="50" t="n">
        <f aca="false">IF($A90&lt;28,0,IF($A90&lt;50,1,2))</f>
        <v>2</v>
      </c>
      <c r="Q90" s="50" t="n">
        <f aca="false">1+IF($A90&gt;=34,1,0)+IF($A90&gt;=60,1,0)+MAX(0,INT(($A90-60)/30))</f>
        <v>3</v>
      </c>
      <c r="R90" s="50" t="n">
        <f aca="false">40+2*MAX(0,$A90-10)</f>
        <v>190</v>
      </c>
      <c r="S90" s="50" t="n">
        <f aca="false">60+2*MAX(0,$A90-10)</f>
        <v>210</v>
      </c>
      <c r="T90" s="50" t="n">
        <f aca="false">40+5.5*$A90</f>
        <v>507.5</v>
      </c>
    </row>
    <row r="91" customFormat="false" ht="15" hidden="false" customHeight="true" outlineLevel="0" collapsed="false">
      <c r="A91" s="24" t="n">
        <v>86</v>
      </c>
      <c r="B91" s="53" t="n">
        <f aca="false">1+MIN(0.5,$A91*0.02)+0.01*MAX(MIN($A91,55)-25,0)+0.004*MAX(0,$A91-55)</f>
        <v>1.924</v>
      </c>
      <c r="C91" s="54" t="n">
        <f aca="false">IF($A91&gt;=12,1,0)+IF($A91&gt;=18,1,0)+IF($A91&gt;18,INT(($A91-18)/5),0)</f>
        <v>15</v>
      </c>
      <c r="D91" s="54" t="n">
        <f aca="false">IF($A91&gt;=26,1,0)+IF($A91&gt;=38,1,0)+IF($A91&gt;38,INT(($A91-38)/12),0)</f>
        <v>6</v>
      </c>
      <c r="E91" s="54" t="n">
        <f aca="false">IF($A91&gt;=25,1,0)+IF($A91&gt;=50,1,0)+MAX(0,INT(($A91-50)/25))</f>
        <v>3</v>
      </c>
      <c r="F91" s="54" t="n">
        <f aca="false">IF($A91&gt;=60,1,0)+MAX(0,INT(($A91-60)/30))</f>
        <v>1</v>
      </c>
      <c r="G91" s="55" t="n">
        <f aca="false">IF($A91&lt;=18,MAX(0.18,0.9-$A91*0.04),0.06+0.12*EXP(-($A91-18)/25))</f>
        <v>0.0679049705311684</v>
      </c>
      <c r="H91" s="54" t="n">
        <f aca="false">IF($A91&lt;36,1,IF($A91&lt;60,2,3))</f>
        <v>3</v>
      </c>
      <c r="I91" s="56" t="n">
        <f aca="false">IF($A91&lt;6,0,0.14+0.55*(1-EXP(-($A91-6)/22)))</f>
        <v>0.675508610552053</v>
      </c>
      <c r="J91" s="56" t="n">
        <f aca="false">IF($A91&lt;18,0,0.35*(1-EXP(-($A91-17)/30)))</f>
        <v>0.314909404697019</v>
      </c>
      <c r="K91" s="53" t="n">
        <f aca="false">IF($A91&lt;=15,1,1+(1-EXP(-($A91-15)/15)))</f>
        <v>1.99120290154889</v>
      </c>
      <c r="L91" s="54" t="n">
        <f aca="false">IF($A91&lt;14,0,MIN(8,1+INT(($A91-14)/9)))</f>
        <v>8</v>
      </c>
      <c r="M91" s="54" t="n">
        <f aca="false">IF($A91&lt;16,0,IF($A91&lt;40,1,2))</f>
        <v>2</v>
      </c>
      <c r="N91" s="54" t="n">
        <f aca="false">IF($A91&lt;20,0,MIN(4,1+INT(($A91-20)/12)))</f>
        <v>4</v>
      </c>
      <c r="O91" s="54" t="n">
        <f aca="false">IF($A91&lt;22,0,MIN(3,1+INT(($A91-22)/15)))</f>
        <v>3</v>
      </c>
      <c r="P91" s="54" t="n">
        <f aca="false">IF($A91&lt;28,0,IF($A91&lt;50,1,2))</f>
        <v>2</v>
      </c>
      <c r="Q91" s="54" t="n">
        <f aca="false">1+IF($A91&gt;=34,1,0)+IF($A91&gt;=60,1,0)+MAX(0,INT(($A91-60)/30))</f>
        <v>3</v>
      </c>
      <c r="R91" s="54" t="n">
        <f aca="false">40+2*MAX(0,$A91-10)</f>
        <v>192</v>
      </c>
      <c r="S91" s="54" t="n">
        <f aca="false">60+2*MAX(0,$A91-10)</f>
        <v>212</v>
      </c>
      <c r="T91" s="54" t="n">
        <f aca="false">40+5.5*$A91</f>
        <v>513</v>
      </c>
    </row>
    <row r="92" customFormat="false" ht="15" hidden="false" customHeight="true" outlineLevel="0" collapsed="false">
      <c r="A92" s="16" t="n">
        <v>87</v>
      </c>
      <c r="B92" s="49" t="n">
        <f aca="false">1+MIN(0.5,$A92*0.02)+0.01*MAX(MIN($A92,55)-25,0)+0.004*MAX(0,$A92-55)</f>
        <v>1.928</v>
      </c>
      <c r="C92" s="50" t="n">
        <f aca="false">IF($A92&gt;=12,1,0)+IF($A92&gt;=18,1,0)+IF($A92&gt;18,INT(($A92-18)/5),0)</f>
        <v>15</v>
      </c>
      <c r="D92" s="50" t="n">
        <f aca="false">IF($A92&gt;=26,1,0)+IF($A92&gt;=38,1,0)+IF($A92&gt;38,INT(($A92-38)/12),0)</f>
        <v>6</v>
      </c>
      <c r="E92" s="50" t="n">
        <f aca="false">IF($A92&gt;=25,1,0)+IF($A92&gt;=50,1,0)+MAX(0,INT(($A92-50)/25))</f>
        <v>3</v>
      </c>
      <c r="F92" s="50" t="n">
        <f aca="false">IF($A92&gt;=60,1,0)+MAX(0,INT(($A92-60)/30))</f>
        <v>1</v>
      </c>
      <c r="G92" s="51" t="n">
        <f aca="false">IF($A92&lt;=18,MAX(0.18,0.9-$A92*0.04),0.06+0.12*EXP(-($A92-18)/25))</f>
        <v>0.0675950122031569</v>
      </c>
      <c r="H92" s="50" t="n">
        <f aca="false">IF($A92&lt;36,1,IF($A92&lt;60,2,3))</f>
        <v>3</v>
      </c>
      <c r="I92" s="52" t="n">
        <f aca="false">IF($A92&lt;6,0,0.14+0.55*(1-EXP(-($A92-6)/22)))</f>
        <v>0.676152563899374</v>
      </c>
      <c r="J92" s="52" t="n">
        <f aca="false">IF($A92&lt;18,0,0.35*(1-EXP(-($A92-17)/30)))</f>
        <v>0.316059811247458</v>
      </c>
      <c r="K92" s="49" t="n">
        <f aca="false">IF($A92&lt;=15,1,1+(1-EXP(-($A92-15)/15)))</f>
        <v>1.99177025295098</v>
      </c>
      <c r="L92" s="50" t="n">
        <f aca="false">IF($A92&lt;14,0,MIN(8,1+INT(($A92-14)/9)))</f>
        <v>8</v>
      </c>
      <c r="M92" s="50" t="n">
        <f aca="false">IF($A92&lt;16,0,IF($A92&lt;40,1,2))</f>
        <v>2</v>
      </c>
      <c r="N92" s="50" t="n">
        <f aca="false">IF($A92&lt;20,0,MIN(4,1+INT(($A92-20)/12)))</f>
        <v>4</v>
      </c>
      <c r="O92" s="50" t="n">
        <f aca="false">IF($A92&lt;22,0,MIN(3,1+INT(($A92-22)/15)))</f>
        <v>3</v>
      </c>
      <c r="P92" s="50" t="n">
        <f aca="false">IF($A92&lt;28,0,IF($A92&lt;50,1,2))</f>
        <v>2</v>
      </c>
      <c r="Q92" s="50" t="n">
        <f aca="false">1+IF($A92&gt;=34,1,0)+IF($A92&gt;=60,1,0)+MAX(0,INT(($A92-60)/30))</f>
        <v>3</v>
      </c>
      <c r="R92" s="50" t="n">
        <f aca="false">40+2*MAX(0,$A92-10)</f>
        <v>194</v>
      </c>
      <c r="S92" s="50" t="n">
        <f aca="false">60+2*MAX(0,$A92-10)</f>
        <v>214</v>
      </c>
      <c r="T92" s="50" t="n">
        <f aca="false">40+5.5*$A92</f>
        <v>518.5</v>
      </c>
    </row>
    <row r="93" customFormat="false" ht="15" hidden="false" customHeight="true" outlineLevel="0" collapsed="false">
      <c r="A93" s="24" t="n">
        <v>88</v>
      </c>
      <c r="B93" s="53" t="n">
        <f aca="false">1+MIN(0.5,$A93*0.02)+0.01*MAX(MIN($A93,55)-25,0)+0.004*MAX(0,$A93-55)</f>
        <v>1.932</v>
      </c>
      <c r="C93" s="54" t="n">
        <f aca="false">IF($A93&gt;=12,1,0)+IF($A93&gt;=18,1,0)+IF($A93&gt;18,INT(($A93-18)/5),0)</f>
        <v>16</v>
      </c>
      <c r="D93" s="54" t="n">
        <f aca="false">IF($A93&gt;=26,1,0)+IF($A93&gt;=38,1,0)+IF($A93&gt;38,INT(($A93-38)/12),0)</f>
        <v>6</v>
      </c>
      <c r="E93" s="54" t="n">
        <f aca="false">IF($A93&gt;=25,1,0)+IF($A93&gt;=50,1,0)+MAX(0,INT(($A93-50)/25))</f>
        <v>3</v>
      </c>
      <c r="F93" s="54" t="n">
        <f aca="false">IF($A93&gt;=60,1,0)+MAX(0,INT(($A93-60)/30))</f>
        <v>1</v>
      </c>
      <c r="G93" s="55" t="n">
        <f aca="false">IF($A93&lt;=18,MAX(0.18,0.9-$A93*0.04),0.06+0.12*EXP(-($A93-18)/25))</f>
        <v>0.0672972075150262</v>
      </c>
      <c r="H93" s="54" t="n">
        <f aca="false">IF($A93&lt;36,1,IF($A93&lt;60,2,3))</f>
        <v>3</v>
      </c>
      <c r="I93" s="56" t="n">
        <f aca="false">IF($A93&lt;6,0,0.14+0.55*(1-EXP(-($A93-6)/22)))</f>
        <v>0.676767901915155</v>
      </c>
      <c r="J93" s="56" t="n">
        <f aca="false">IF($A93&lt;18,0,0.35*(1-EXP(-($A93-17)/30)))</f>
        <v>0.317172502985143</v>
      </c>
      <c r="K93" s="53" t="n">
        <f aca="false">IF($A93&lt;=15,1,1+(1-EXP(-($A93-15)/15)))</f>
        <v>1.9923010141506</v>
      </c>
      <c r="L93" s="54" t="n">
        <f aca="false">IF($A93&lt;14,0,MIN(8,1+INT(($A93-14)/9)))</f>
        <v>8</v>
      </c>
      <c r="M93" s="54" t="n">
        <f aca="false">IF($A93&lt;16,0,IF($A93&lt;40,1,2))</f>
        <v>2</v>
      </c>
      <c r="N93" s="54" t="n">
        <f aca="false">IF($A93&lt;20,0,MIN(4,1+INT(($A93-20)/12)))</f>
        <v>4</v>
      </c>
      <c r="O93" s="54" t="n">
        <f aca="false">IF($A93&lt;22,0,MIN(3,1+INT(($A93-22)/15)))</f>
        <v>3</v>
      </c>
      <c r="P93" s="54" t="n">
        <f aca="false">IF($A93&lt;28,0,IF($A93&lt;50,1,2))</f>
        <v>2</v>
      </c>
      <c r="Q93" s="54" t="n">
        <f aca="false">1+IF($A93&gt;=34,1,0)+IF($A93&gt;=60,1,0)+MAX(0,INT(($A93-60)/30))</f>
        <v>3</v>
      </c>
      <c r="R93" s="54" t="n">
        <f aca="false">40+2*MAX(0,$A93-10)</f>
        <v>196</v>
      </c>
      <c r="S93" s="54" t="n">
        <f aca="false">60+2*MAX(0,$A93-10)</f>
        <v>216</v>
      </c>
      <c r="T93" s="54" t="n">
        <f aca="false">40+5.5*$A93</f>
        <v>524</v>
      </c>
    </row>
    <row r="94" customFormat="false" ht="15" hidden="false" customHeight="true" outlineLevel="0" collapsed="false">
      <c r="A94" s="16" t="n">
        <v>89</v>
      </c>
      <c r="B94" s="49" t="n">
        <f aca="false">1+MIN(0.5,$A94*0.02)+0.01*MAX(MIN($A94,55)-25,0)+0.004*MAX(0,$A94-55)</f>
        <v>1.936</v>
      </c>
      <c r="C94" s="50" t="n">
        <f aca="false">IF($A94&gt;=12,1,0)+IF($A94&gt;=18,1,0)+IF($A94&gt;18,INT(($A94-18)/5),0)</f>
        <v>16</v>
      </c>
      <c r="D94" s="50" t="n">
        <f aca="false">IF($A94&gt;=26,1,0)+IF($A94&gt;=38,1,0)+IF($A94&gt;38,INT(($A94-38)/12),0)</f>
        <v>6</v>
      </c>
      <c r="E94" s="50" t="n">
        <f aca="false">IF($A94&gt;=25,1,0)+IF($A94&gt;=50,1,0)+MAX(0,INT(($A94-50)/25))</f>
        <v>3</v>
      </c>
      <c r="F94" s="50" t="n">
        <f aca="false">IF($A94&gt;=60,1,0)+MAX(0,INT(($A94-60)/30))</f>
        <v>1</v>
      </c>
      <c r="G94" s="51" t="n">
        <f aca="false">IF($A94&lt;=18,MAX(0.18,0.9-$A94*0.04),0.06+0.12*EXP(-($A94-18)/25))</f>
        <v>0.0670110799157401</v>
      </c>
      <c r="H94" s="50" t="n">
        <f aca="false">IF($A94&lt;36,1,IF($A94&lt;60,2,3))</f>
        <v>3</v>
      </c>
      <c r="I94" s="52" t="n">
        <f aca="false">IF($A94&lt;6,0,0.14+0.55*(1-EXP(-($A94-6)/22)))</f>
        <v>0.677355896177845</v>
      </c>
      <c r="J94" s="52" t="n">
        <f aca="false">IF($A94&lt;18,0,0.35*(1-EXP(-($A94-17)/30)))</f>
        <v>0.318248716348706</v>
      </c>
      <c r="K94" s="49" t="n">
        <f aca="false">IF($A94&lt;=15,1,1+(1-EXP(-($A94-15)/15)))</f>
        <v>1.99279754496023</v>
      </c>
      <c r="L94" s="50" t="n">
        <f aca="false">IF($A94&lt;14,0,MIN(8,1+INT(($A94-14)/9)))</f>
        <v>8</v>
      </c>
      <c r="M94" s="50" t="n">
        <f aca="false">IF($A94&lt;16,0,IF($A94&lt;40,1,2))</f>
        <v>2</v>
      </c>
      <c r="N94" s="50" t="n">
        <f aca="false">IF($A94&lt;20,0,MIN(4,1+INT(($A94-20)/12)))</f>
        <v>4</v>
      </c>
      <c r="O94" s="50" t="n">
        <f aca="false">IF($A94&lt;22,0,MIN(3,1+INT(($A94-22)/15)))</f>
        <v>3</v>
      </c>
      <c r="P94" s="50" t="n">
        <f aca="false">IF($A94&lt;28,0,IF($A94&lt;50,1,2))</f>
        <v>2</v>
      </c>
      <c r="Q94" s="50" t="n">
        <f aca="false">1+IF($A94&gt;=34,1,0)+IF($A94&gt;=60,1,0)+MAX(0,INT(($A94-60)/30))</f>
        <v>3</v>
      </c>
      <c r="R94" s="50" t="n">
        <f aca="false">40+2*MAX(0,$A94-10)</f>
        <v>198</v>
      </c>
      <c r="S94" s="50" t="n">
        <f aca="false">60+2*MAX(0,$A94-10)</f>
        <v>218</v>
      </c>
      <c r="T94" s="50" t="n">
        <f aca="false">40+5.5*$A94</f>
        <v>529.5</v>
      </c>
    </row>
    <row r="95" customFormat="false" ht="15" hidden="false" customHeight="true" outlineLevel="0" collapsed="false">
      <c r="A95" s="24" t="n">
        <v>90</v>
      </c>
      <c r="B95" s="53" t="n">
        <f aca="false">1+MIN(0.5,$A95*0.02)+0.01*MAX(MIN($A95,55)-25,0)+0.004*MAX(0,$A95-55)</f>
        <v>1.94</v>
      </c>
      <c r="C95" s="54" t="n">
        <f aca="false">IF($A95&gt;=12,1,0)+IF($A95&gt;=18,1,0)+IF($A95&gt;18,INT(($A95-18)/5),0)</f>
        <v>16</v>
      </c>
      <c r="D95" s="54" t="n">
        <f aca="false">IF($A95&gt;=26,1,0)+IF($A95&gt;=38,1,0)+IF($A95&gt;38,INT(($A95-38)/12),0)</f>
        <v>6</v>
      </c>
      <c r="E95" s="54" t="n">
        <f aca="false">IF($A95&gt;=25,1,0)+IF($A95&gt;=50,1,0)+MAX(0,INT(($A95-50)/25))</f>
        <v>3</v>
      </c>
      <c r="F95" s="54" t="n">
        <f aca="false">IF($A95&gt;=60,1,0)+MAX(0,INT(($A95-60)/30))</f>
        <v>2</v>
      </c>
      <c r="G95" s="55" t="n">
        <f aca="false">IF($A95&lt;=18,MAX(0.18,0.9-$A95*0.04),0.06+0.12*EXP(-($A95-18)/25))</f>
        <v>0.0667361715400961</v>
      </c>
      <c r="H95" s="54" t="n">
        <f aca="false">IF($A95&lt;36,1,IF($A95&lt;60,2,3))</f>
        <v>3</v>
      </c>
      <c r="I95" s="56" t="n">
        <f aca="false">IF($A95&lt;6,0,0.14+0.55*(1-EXP(-($A95-6)/22)))</f>
        <v>0.677917761760811</v>
      </c>
      <c r="J95" s="56" t="n">
        <f aca="false">IF($A95&lt;18,0,0.35*(1-EXP(-($A95-17)/30)))</f>
        <v>0.319289647241497</v>
      </c>
      <c r="K95" s="53" t="n">
        <f aca="false">IF($A95&lt;=15,1,1+(1-EXP(-($A95-15)/15)))</f>
        <v>1.99326205300091</v>
      </c>
      <c r="L95" s="54" t="n">
        <f aca="false">IF($A95&lt;14,0,MIN(8,1+INT(($A95-14)/9)))</f>
        <v>8</v>
      </c>
      <c r="M95" s="54" t="n">
        <f aca="false">IF($A95&lt;16,0,IF($A95&lt;40,1,2))</f>
        <v>2</v>
      </c>
      <c r="N95" s="54" t="n">
        <f aca="false">IF($A95&lt;20,0,MIN(4,1+INT(($A95-20)/12)))</f>
        <v>4</v>
      </c>
      <c r="O95" s="54" t="n">
        <f aca="false">IF($A95&lt;22,0,MIN(3,1+INT(($A95-22)/15)))</f>
        <v>3</v>
      </c>
      <c r="P95" s="54" t="n">
        <f aca="false">IF($A95&lt;28,0,IF($A95&lt;50,1,2))</f>
        <v>2</v>
      </c>
      <c r="Q95" s="54" t="n">
        <f aca="false">1+IF($A95&gt;=34,1,0)+IF($A95&gt;=60,1,0)+MAX(0,INT(($A95-60)/30))</f>
        <v>4</v>
      </c>
      <c r="R95" s="54" t="n">
        <f aca="false">40+2*MAX(0,$A95-10)</f>
        <v>200</v>
      </c>
      <c r="S95" s="54" t="n">
        <f aca="false">60+2*MAX(0,$A95-10)</f>
        <v>220</v>
      </c>
      <c r="T95" s="54" t="n">
        <f aca="false">40+5.5*$A95</f>
        <v>535</v>
      </c>
    </row>
    <row r="96" customFormat="false" ht="15" hidden="false" customHeight="true" outlineLevel="0" collapsed="false">
      <c r="A96" s="16" t="n">
        <v>91</v>
      </c>
      <c r="B96" s="49" t="n">
        <f aca="false">1+MIN(0.5,$A96*0.02)+0.01*MAX(MIN($A96,55)-25,0)+0.004*MAX(0,$A96-55)</f>
        <v>1.944</v>
      </c>
      <c r="C96" s="50" t="n">
        <f aca="false">IF($A96&gt;=12,1,0)+IF($A96&gt;=18,1,0)+IF($A96&gt;18,INT(($A96-18)/5),0)</f>
        <v>16</v>
      </c>
      <c r="D96" s="50" t="n">
        <f aca="false">IF($A96&gt;=26,1,0)+IF($A96&gt;=38,1,0)+IF($A96&gt;38,INT(($A96-38)/12),0)</f>
        <v>6</v>
      </c>
      <c r="E96" s="50" t="n">
        <f aca="false">IF($A96&gt;=25,1,0)+IF($A96&gt;=50,1,0)+MAX(0,INT(($A96-50)/25))</f>
        <v>3</v>
      </c>
      <c r="F96" s="50" t="n">
        <f aca="false">IF($A96&gt;=60,1,0)+MAX(0,INT(($A96-60)/30))</f>
        <v>2</v>
      </c>
      <c r="G96" s="51" t="n">
        <f aca="false">IF($A96&lt;=18,MAX(0.18,0.9-$A96*0.04),0.06+0.12*EXP(-($A96-18)/25))</f>
        <v>0.0664720424760427</v>
      </c>
      <c r="H96" s="50" t="n">
        <f aca="false">IF($A96&lt;36,1,IF($A96&lt;60,2,3))</f>
        <v>3</v>
      </c>
      <c r="I96" s="52" t="n">
        <f aca="false">IF($A96&lt;6,0,0.14+0.55*(1-EXP(-($A96-6)/22)))</f>
        <v>0.678454659743243</v>
      </c>
      <c r="J96" s="52" t="n">
        <f aca="false">IF($A96&lt;18,0,0.35*(1-EXP(-($A96-17)/30)))</f>
        <v>0.320296452360494</v>
      </c>
      <c r="K96" s="49" t="n">
        <f aca="false">IF($A96&lt;=15,1,1+(1-EXP(-($A96-15)/15)))</f>
        <v>1.99369660351758</v>
      </c>
      <c r="L96" s="50" t="n">
        <f aca="false">IF($A96&lt;14,0,MIN(8,1+INT(($A96-14)/9)))</f>
        <v>8</v>
      </c>
      <c r="M96" s="50" t="n">
        <f aca="false">IF($A96&lt;16,0,IF($A96&lt;40,1,2))</f>
        <v>2</v>
      </c>
      <c r="N96" s="50" t="n">
        <f aca="false">IF($A96&lt;20,0,MIN(4,1+INT(($A96-20)/12)))</f>
        <v>4</v>
      </c>
      <c r="O96" s="50" t="n">
        <f aca="false">IF($A96&lt;22,0,MIN(3,1+INT(($A96-22)/15)))</f>
        <v>3</v>
      </c>
      <c r="P96" s="50" t="n">
        <f aca="false">IF($A96&lt;28,0,IF($A96&lt;50,1,2))</f>
        <v>2</v>
      </c>
      <c r="Q96" s="50" t="n">
        <f aca="false">1+IF($A96&gt;=34,1,0)+IF($A96&gt;=60,1,0)+MAX(0,INT(($A96-60)/30))</f>
        <v>4</v>
      </c>
      <c r="R96" s="50" t="n">
        <f aca="false">40+2*MAX(0,$A96-10)</f>
        <v>202</v>
      </c>
      <c r="S96" s="50" t="n">
        <f aca="false">60+2*MAX(0,$A96-10)</f>
        <v>222</v>
      </c>
      <c r="T96" s="50" t="n">
        <f aca="false">40+5.5*$A96</f>
        <v>540.5</v>
      </c>
    </row>
    <row r="97" customFormat="false" ht="15" hidden="false" customHeight="true" outlineLevel="0" collapsed="false">
      <c r="A97" s="24" t="n">
        <v>92</v>
      </c>
      <c r="B97" s="53" t="n">
        <f aca="false">1+MIN(0.5,$A97*0.02)+0.01*MAX(MIN($A97,55)-25,0)+0.004*MAX(0,$A97-55)</f>
        <v>1.948</v>
      </c>
      <c r="C97" s="54" t="n">
        <f aca="false">IF($A97&gt;=12,1,0)+IF($A97&gt;=18,1,0)+IF($A97&gt;18,INT(($A97-18)/5),0)</f>
        <v>16</v>
      </c>
      <c r="D97" s="54" t="n">
        <f aca="false">IF($A97&gt;=26,1,0)+IF($A97&gt;=38,1,0)+IF($A97&gt;38,INT(($A97-38)/12),0)</f>
        <v>6</v>
      </c>
      <c r="E97" s="54" t="n">
        <f aca="false">IF($A97&gt;=25,1,0)+IF($A97&gt;=50,1,0)+MAX(0,INT(($A97-50)/25))</f>
        <v>3</v>
      </c>
      <c r="F97" s="54" t="n">
        <f aca="false">IF($A97&gt;=60,1,0)+MAX(0,INT(($A97-60)/30))</f>
        <v>2</v>
      </c>
      <c r="G97" s="55" t="n">
        <f aca="false">IF($A97&lt;=18,MAX(0.18,0.9-$A97*0.04),0.06+0.12*EXP(-($A97-18)/25))</f>
        <v>0.0662182700607271</v>
      </c>
      <c r="H97" s="54" t="n">
        <f aca="false">IF($A97&lt;36,1,IF($A97&lt;60,2,3))</f>
        <v>3</v>
      </c>
      <c r="I97" s="56" t="n">
        <f aca="false">IF($A97&lt;6,0,0.14+0.55*(1-EXP(-($A97-6)/22)))</f>
        <v>0.678967699609503</v>
      </c>
      <c r="J97" s="56" t="n">
        <f aca="false">IF($A97&lt;18,0,0.35*(1-EXP(-($A97-17)/30)))</f>
        <v>0.321270250481635</v>
      </c>
      <c r="K97" s="53" t="n">
        <f aca="false">IF($A97&lt;=15,1,1+(1-EXP(-($A97-15)/15)))</f>
        <v>1.99410312856128</v>
      </c>
      <c r="L97" s="54" t="n">
        <f aca="false">IF($A97&lt;14,0,MIN(8,1+INT(($A97-14)/9)))</f>
        <v>8</v>
      </c>
      <c r="M97" s="54" t="n">
        <f aca="false">IF($A97&lt;16,0,IF($A97&lt;40,1,2))</f>
        <v>2</v>
      </c>
      <c r="N97" s="54" t="n">
        <f aca="false">IF($A97&lt;20,0,MIN(4,1+INT(($A97-20)/12)))</f>
        <v>4</v>
      </c>
      <c r="O97" s="54" t="n">
        <f aca="false">IF($A97&lt;22,0,MIN(3,1+INT(($A97-22)/15)))</f>
        <v>3</v>
      </c>
      <c r="P97" s="54" t="n">
        <f aca="false">IF($A97&lt;28,0,IF($A97&lt;50,1,2))</f>
        <v>2</v>
      </c>
      <c r="Q97" s="54" t="n">
        <f aca="false">1+IF($A97&gt;=34,1,0)+IF($A97&gt;=60,1,0)+MAX(0,INT(($A97-60)/30))</f>
        <v>4</v>
      </c>
      <c r="R97" s="54" t="n">
        <f aca="false">40+2*MAX(0,$A97-10)</f>
        <v>204</v>
      </c>
      <c r="S97" s="54" t="n">
        <f aca="false">60+2*MAX(0,$A97-10)</f>
        <v>224</v>
      </c>
      <c r="T97" s="54" t="n">
        <f aca="false">40+5.5*$A97</f>
        <v>546</v>
      </c>
    </row>
    <row r="98" customFormat="false" ht="15" hidden="false" customHeight="true" outlineLevel="0" collapsed="false">
      <c r="A98" s="16" t="n">
        <v>93</v>
      </c>
      <c r="B98" s="49" t="n">
        <f aca="false">1+MIN(0.5,$A98*0.02)+0.01*MAX(MIN($A98,55)-25,0)+0.004*MAX(0,$A98-55)</f>
        <v>1.952</v>
      </c>
      <c r="C98" s="50" t="n">
        <f aca="false">IF($A98&gt;=12,1,0)+IF($A98&gt;=18,1,0)+IF($A98&gt;18,INT(($A98-18)/5),0)</f>
        <v>17</v>
      </c>
      <c r="D98" s="50" t="n">
        <f aca="false">IF($A98&gt;=26,1,0)+IF($A98&gt;=38,1,0)+IF($A98&gt;38,INT(($A98-38)/12),0)</f>
        <v>6</v>
      </c>
      <c r="E98" s="50" t="n">
        <f aca="false">IF($A98&gt;=25,1,0)+IF($A98&gt;=50,1,0)+MAX(0,INT(($A98-50)/25))</f>
        <v>3</v>
      </c>
      <c r="F98" s="50" t="n">
        <f aca="false">IF($A98&gt;=60,1,0)+MAX(0,INT(($A98-60)/30))</f>
        <v>2</v>
      </c>
      <c r="G98" s="51" t="n">
        <f aca="false">IF($A98&lt;=18,MAX(0.18,0.9-$A98*0.04),0.06+0.12*EXP(-($A98-18)/25))</f>
        <v>0.0659744482041437</v>
      </c>
      <c r="H98" s="50" t="n">
        <f aca="false">IF($A98&lt;36,1,IF($A98&lt;60,2,3))</f>
        <v>3</v>
      </c>
      <c r="I98" s="52" t="n">
        <f aca="false">IF($A98&lt;6,0,0.14+0.55*(1-EXP(-($A98-6)/22)))</f>
        <v>0.679457941541833</v>
      </c>
      <c r="J98" s="52" t="n">
        <f aca="false">IF($A98&lt;18,0,0.35*(1-EXP(-($A98-17)/30)))</f>
        <v>0.322212123703023</v>
      </c>
      <c r="K98" s="49" t="n">
        <f aca="false">IF($A98&lt;=15,1,1+(1-EXP(-($A98-15)/15)))</f>
        <v>1.99448343557924</v>
      </c>
      <c r="L98" s="50" t="n">
        <f aca="false">IF($A98&lt;14,0,MIN(8,1+INT(($A98-14)/9)))</f>
        <v>8</v>
      </c>
      <c r="M98" s="50" t="n">
        <f aca="false">IF($A98&lt;16,0,IF($A98&lt;40,1,2))</f>
        <v>2</v>
      </c>
      <c r="N98" s="50" t="n">
        <f aca="false">IF($A98&lt;20,0,MIN(4,1+INT(($A98-20)/12)))</f>
        <v>4</v>
      </c>
      <c r="O98" s="50" t="n">
        <f aca="false">IF($A98&lt;22,0,MIN(3,1+INT(($A98-22)/15)))</f>
        <v>3</v>
      </c>
      <c r="P98" s="50" t="n">
        <f aca="false">IF($A98&lt;28,0,IF($A98&lt;50,1,2))</f>
        <v>2</v>
      </c>
      <c r="Q98" s="50" t="n">
        <f aca="false">1+IF($A98&gt;=34,1,0)+IF($A98&gt;=60,1,0)+MAX(0,INT(($A98-60)/30))</f>
        <v>4</v>
      </c>
      <c r="R98" s="50" t="n">
        <f aca="false">40+2*MAX(0,$A98-10)</f>
        <v>206</v>
      </c>
      <c r="S98" s="50" t="n">
        <f aca="false">60+2*MAX(0,$A98-10)</f>
        <v>226</v>
      </c>
      <c r="T98" s="50" t="n">
        <f aca="false">40+5.5*$A98</f>
        <v>551.5</v>
      </c>
    </row>
    <row r="99" customFormat="false" ht="15" hidden="false" customHeight="true" outlineLevel="0" collapsed="false">
      <c r="A99" s="24" t="n">
        <v>94</v>
      </c>
      <c r="B99" s="53" t="n">
        <f aca="false">1+MIN(0.5,$A99*0.02)+0.01*MAX(MIN($A99,55)-25,0)+0.004*MAX(0,$A99-55)</f>
        <v>1.956</v>
      </c>
      <c r="C99" s="54" t="n">
        <f aca="false">IF($A99&gt;=12,1,0)+IF($A99&gt;=18,1,0)+IF($A99&gt;18,INT(($A99-18)/5),0)</f>
        <v>17</v>
      </c>
      <c r="D99" s="54" t="n">
        <f aca="false">IF($A99&gt;=26,1,0)+IF($A99&gt;=38,1,0)+IF($A99&gt;38,INT(($A99-38)/12),0)</f>
        <v>6</v>
      </c>
      <c r="E99" s="54" t="n">
        <f aca="false">IF($A99&gt;=25,1,0)+IF($A99&gt;=50,1,0)+MAX(0,INT(($A99-50)/25))</f>
        <v>3</v>
      </c>
      <c r="F99" s="54" t="n">
        <f aca="false">IF($A99&gt;=60,1,0)+MAX(0,INT(($A99-60)/30))</f>
        <v>2</v>
      </c>
      <c r="G99" s="55" t="n">
        <f aca="false">IF($A99&lt;=18,MAX(0.18,0.9-$A99*0.04),0.06+0.12*EXP(-($A99-18)/25))</f>
        <v>0.0657401867393038</v>
      </c>
      <c r="H99" s="54" t="n">
        <f aca="false">IF($A99&lt;36,1,IF($A99&lt;60,2,3))</f>
        <v>3</v>
      </c>
      <c r="I99" s="56" t="n">
        <f aca="false">IF($A99&lt;6,0,0.14+0.55*(1-EXP(-($A99-6)/22)))</f>
        <v>0.679926398611196</v>
      </c>
      <c r="J99" s="56" t="n">
        <f aca="false">IF($A99&lt;18,0,0.35*(1-EXP(-($A99-17)/30)))</f>
        <v>0.323123118647361</v>
      </c>
      <c r="K99" s="53" t="n">
        <f aca="false">IF($A99&lt;=15,1,1+(1-EXP(-($A99-15)/15)))</f>
        <v>1.994839215451</v>
      </c>
      <c r="L99" s="54" t="n">
        <f aca="false">IF($A99&lt;14,0,MIN(8,1+INT(($A99-14)/9)))</f>
        <v>8</v>
      </c>
      <c r="M99" s="54" t="n">
        <f aca="false">IF($A99&lt;16,0,IF($A99&lt;40,1,2))</f>
        <v>2</v>
      </c>
      <c r="N99" s="54" t="n">
        <f aca="false">IF($A99&lt;20,0,MIN(4,1+INT(($A99-20)/12)))</f>
        <v>4</v>
      </c>
      <c r="O99" s="54" t="n">
        <f aca="false">IF($A99&lt;22,0,MIN(3,1+INT(($A99-22)/15)))</f>
        <v>3</v>
      </c>
      <c r="P99" s="54" t="n">
        <f aca="false">IF($A99&lt;28,0,IF($A99&lt;50,1,2))</f>
        <v>2</v>
      </c>
      <c r="Q99" s="54" t="n">
        <f aca="false">1+IF($A99&gt;=34,1,0)+IF($A99&gt;=60,1,0)+MAX(0,INT(($A99-60)/30))</f>
        <v>4</v>
      </c>
      <c r="R99" s="54" t="n">
        <f aca="false">40+2*MAX(0,$A99-10)</f>
        <v>208</v>
      </c>
      <c r="S99" s="54" t="n">
        <f aca="false">60+2*MAX(0,$A99-10)</f>
        <v>228</v>
      </c>
      <c r="T99" s="54" t="n">
        <f aca="false">40+5.5*$A99</f>
        <v>557</v>
      </c>
    </row>
    <row r="100" customFormat="false" ht="15" hidden="false" customHeight="true" outlineLevel="0" collapsed="false">
      <c r="A100" s="16" t="n">
        <v>95</v>
      </c>
      <c r="B100" s="49" t="n">
        <f aca="false">1+MIN(0.5,$A100*0.02)+0.01*MAX(MIN($A100,55)-25,0)+0.004*MAX(0,$A100-55)</f>
        <v>1.96</v>
      </c>
      <c r="C100" s="50" t="n">
        <f aca="false">IF($A100&gt;=12,1,0)+IF($A100&gt;=18,1,0)+IF($A100&gt;18,INT(($A100-18)/5),0)</f>
        <v>17</v>
      </c>
      <c r="D100" s="50" t="n">
        <f aca="false">IF($A100&gt;=26,1,0)+IF($A100&gt;=38,1,0)+IF($A100&gt;38,INT(($A100-38)/12),0)</f>
        <v>6</v>
      </c>
      <c r="E100" s="50" t="n">
        <f aca="false">IF($A100&gt;=25,1,0)+IF($A100&gt;=50,1,0)+MAX(0,INT(($A100-50)/25))</f>
        <v>3</v>
      </c>
      <c r="F100" s="50" t="n">
        <f aca="false">IF($A100&gt;=60,1,0)+MAX(0,INT(($A100-60)/30))</f>
        <v>2</v>
      </c>
      <c r="G100" s="51" t="n">
        <f aca="false">IF($A100&lt;=18,MAX(0.18,0.9-$A100*0.04),0.06+0.12*EXP(-($A100-18)/25))</f>
        <v>0.0655151107978853</v>
      </c>
      <c r="H100" s="50" t="n">
        <f aca="false">IF($A100&lt;36,1,IF($A100&lt;60,2,3))</f>
        <v>3</v>
      </c>
      <c r="I100" s="52" t="n">
        <f aca="false">IF($A100&lt;6,0,0.14+0.55*(1-EXP(-($A100-6)/22)))</f>
        <v>0.680374038870758</v>
      </c>
      <c r="J100" s="52" t="n">
        <f aca="false">IF($A100&lt;18,0,0.35*(1-EXP(-($A100-17)/30)))</f>
        <v>0.324004247624983</v>
      </c>
      <c r="K100" s="49" t="n">
        <f aca="false">IF($A100&lt;=15,1,1+(1-EXP(-($A100-15)/15)))</f>
        <v>1.99517205000617</v>
      </c>
      <c r="L100" s="50" t="n">
        <f aca="false">IF($A100&lt;14,0,MIN(8,1+INT(($A100-14)/9)))</f>
        <v>8</v>
      </c>
      <c r="M100" s="50" t="n">
        <f aca="false">IF($A100&lt;16,0,IF($A100&lt;40,1,2))</f>
        <v>2</v>
      </c>
      <c r="N100" s="50" t="n">
        <f aca="false">IF($A100&lt;20,0,MIN(4,1+INT(($A100-20)/12)))</f>
        <v>4</v>
      </c>
      <c r="O100" s="50" t="n">
        <f aca="false">IF($A100&lt;22,0,MIN(3,1+INT(($A100-22)/15)))</f>
        <v>3</v>
      </c>
      <c r="P100" s="50" t="n">
        <f aca="false">IF($A100&lt;28,0,IF($A100&lt;50,1,2))</f>
        <v>2</v>
      </c>
      <c r="Q100" s="50" t="n">
        <f aca="false">1+IF($A100&gt;=34,1,0)+IF($A100&gt;=60,1,0)+MAX(0,INT(($A100-60)/30))</f>
        <v>4</v>
      </c>
      <c r="R100" s="50" t="n">
        <f aca="false">40+2*MAX(0,$A100-10)</f>
        <v>210</v>
      </c>
      <c r="S100" s="50" t="n">
        <f aca="false">60+2*MAX(0,$A100-10)</f>
        <v>230</v>
      </c>
      <c r="T100" s="50" t="n">
        <f aca="false">40+5.5*$A100</f>
        <v>562.5</v>
      </c>
    </row>
    <row r="101" customFormat="false" ht="15" hidden="false" customHeight="true" outlineLevel="0" collapsed="false">
      <c r="A101" s="24" t="n">
        <v>96</v>
      </c>
      <c r="B101" s="53" t="n">
        <f aca="false">1+MIN(0.5,$A101*0.02)+0.01*MAX(MIN($A101,55)-25,0)+0.004*MAX(0,$A101-55)</f>
        <v>1.964</v>
      </c>
      <c r="C101" s="54" t="n">
        <f aca="false">IF($A101&gt;=12,1,0)+IF($A101&gt;=18,1,0)+IF($A101&gt;18,INT(($A101-18)/5),0)</f>
        <v>17</v>
      </c>
      <c r="D101" s="54" t="n">
        <f aca="false">IF($A101&gt;=26,1,0)+IF($A101&gt;=38,1,0)+IF($A101&gt;38,INT(($A101-38)/12),0)</f>
        <v>6</v>
      </c>
      <c r="E101" s="54" t="n">
        <f aca="false">IF($A101&gt;=25,1,0)+IF($A101&gt;=50,1,0)+MAX(0,INT(($A101-50)/25))</f>
        <v>3</v>
      </c>
      <c r="F101" s="54" t="n">
        <f aca="false">IF($A101&gt;=60,1,0)+MAX(0,INT(($A101-60)/30))</f>
        <v>2</v>
      </c>
      <c r="G101" s="55" t="n">
        <f aca="false">IF($A101&lt;=18,MAX(0.18,0.9-$A101*0.04),0.06+0.12*EXP(-($A101-18)/25))</f>
        <v>0.0652988602103631</v>
      </c>
      <c r="H101" s="54" t="n">
        <f aca="false">IF($A101&lt;36,1,IF($A101&lt;60,2,3))</f>
        <v>3</v>
      </c>
      <c r="I101" s="56" t="n">
        <f aca="false">IF($A101&lt;6,0,0.14+0.55*(1-EXP(-($A101-6)/22)))</f>
        <v>0.680801787356341</v>
      </c>
      <c r="J101" s="56" t="n">
        <f aca="false">IF($A101&lt;18,0,0.35*(1-EXP(-($A101-17)/30)))</f>
        <v>0.32485648975874</v>
      </c>
      <c r="K101" s="53" t="n">
        <f aca="false">IF($A101&lt;=15,1,1+(1-EXP(-($A101-15)/15)))</f>
        <v>1.99548341905739</v>
      </c>
      <c r="L101" s="54" t="n">
        <f aca="false">IF($A101&lt;14,0,MIN(8,1+INT(($A101-14)/9)))</f>
        <v>8</v>
      </c>
      <c r="M101" s="54" t="n">
        <f aca="false">IF($A101&lt;16,0,IF($A101&lt;40,1,2))</f>
        <v>2</v>
      </c>
      <c r="N101" s="54" t="n">
        <f aca="false">IF($A101&lt;20,0,MIN(4,1+INT(($A101-20)/12)))</f>
        <v>4</v>
      </c>
      <c r="O101" s="54" t="n">
        <f aca="false">IF($A101&lt;22,0,MIN(3,1+INT(($A101-22)/15)))</f>
        <v>3</v>
      </c>
      <c r="P101" s="54" t="n">
        <f aca="false">IF($A101&lt;28,0,IF($A101&lt;50,1,2))</f>
        <v>2</v>
      </c>
      <c r="Q101" s="54" t="n">
        <f aca="false">1+IF($A101&gt;=34,1,0)+IF($A101&gt;=60,1,0)+MAX(0,INT(($A101-60)/30))</f>
        <v>4</v>
      </c>
      <c r="R101" s="54" t="n">
        <f aca="false">40+2*MAX(0,$A101-10)</f>
        <v>212</v>
      </c>
      <c r="S101" s="54" t="n">
        <f aca="false">60+2*MAX(0,$A101-10)</f>
        <v>232</v>
      </c>
      <c r="T101" s="54" t="n">
        <f aca="false">40+5.5*$A101</f>
        <v>568</v>
      </c>
    </row>
    <row r="102" customFormat="false" ht="15" hidden="false" customHeight="true" outlineLevel="0" collapsed="false">
      <c r="A102" s="16" t="n">
        <v>97</v>
      </c>
      <c r="B102" s="49" t="n">
        <f aca="false">1+MIN(0.5,$A102*0.02)+0.01*MAX(MIN($A102,55)-25,0)+0.004*MAX(0,$A102-55)</f>
        <v>1.968</v>
      </c>
      <c r="C102" s="50" t="n">
        <f aca="false">IF($A102&gt;=12,1,0)+IF($A102&gt;=18,1,0)+IF($A102&gt;18,INT(($A102-18)/5),0)</f>
        <v>17</v>
      </c>
      <c r="D102" s="50" t="n">
        <f aca="false">IF($A102&gt;=26,1,0)+IF($A102&gt;=38,1,0)+IF($A102&gt;38,INT(($A102-38)/12),0)</f>
        <v>6</v>
      </c>
      <c r="E102" s="50" t="n">
        <f aca="false">IF($A102&gt;=25,1,0)+IF($A102&gt;=50,1,0)+MAX(0,INT(($A102-50)/25))</f>
        <v>3</v>
      </c>
      <c r="F102" s="50" t="n">
        <f aca="false">IF($A102&gt;=60,1,0)+MAX(0,INT(($A102-60)/30))</f>
        <v>2</v>
      </c>
      <c r="G102" s="51" t="n">
        <f aca="false">IF($A102&lt;=18,MAX(0.18,0.9-$A102*0.04),0.06+0.12*EXP(-($A102-18)/25))</f>
        <v>0.0650910889296614</v>
      </c>
      <c r="H102" s="50" t="n">
        <f aca="false">IF($A102&lt;36,1,IF($A102&lt;60,2,3))</f>
        <v>3</v>
      </c>
      <c r="I102" s="52" t="n">
        <f aca="false">IF($A102&lt;6,0,0.14+0.55*(1-EXP(-($A102-6)/22)))</f>
        <v>0.681210527997984</v>
      </c>
      <c r="J102" s="52" t="n">
        <f aca="false">IF($A102&lt;18,0,0.35*(1-EXP(-($A102-17)/30)))</f>
        <v>0.325680792072019</v>
      </c>
      <c r="K102" s="49" t="n">
        <f aca="false">IF($A102&lt;=15,1,1+(1-EXP(-($A102-15)/15)))</f>
        <v>1.99577470697973</v>
      </c>
      <c r="L102" s="50" t="n">
        <f aca="false">IF($A102&lt;14,0,MIN(8,1+INT(($A102-14)/9)))</f>
        <v>8</v>
      </c>
      <c r="M102" s="50" t="n">
        <f aca="false">IF($A102&lt;16,0,IF($A102&lt;40,1,2))</f>
        <v>2</v>
      </c>
      <c r="N102" s="50" t="n">
        <f aca="false">IF($A102&lt;20,0,MIN(4,1+INT(($A102-20)/12)))</f>
        <v>4</v>
      </c>
      <c r="O102" s="50" t="n">
        <f aca="false">IF($A102&lt;22,0,MIN(3,1+INT(($A102-22)/15)))</f>
        <v>3</v>
      </c>
      <c r="P102" s="50" t="n">
        <f aca="false">IF($A102&lt;28,0,IF($A102&lt;50,1,2))</f>
        <v>2</v>
      </c>
      <c r="Q102" s="50" t="n">
        <f aca="false">1+IF($A102&gt;=34,1,0)+IF($A102&gt;=60,1,0)+MAX(0,INT(($A102-60)/30))</f>
        <v>4</v>
      </c>
      <c r="R102" s="50" t="n">
        <f aca="false">40+2*MAX(0,$A102-10)</f>
        <v>214</v>
      </c>
      <c r="S102" s="50" t="n">
        <f aca="false">60+2*MAX(0,$A102-10)</f>
        <v>234</v>
      </c>
      <c r="T102" s="50" t="n">
        <f aca="false">40+5.5*$A102</f>
        <v>573.5</v>
      </c>
    </row>
    <row r="103" customFormat="false" ht="15" hidden="false" customHeight="true" outlineLevel="0" collapsed="false">
      <c r="A103" s="24" t="n">
        <v>98</v>
      </c>
      <c r="B103" s="53" t="n">
        <f aca="false">1+MIN(0.5,$A103*0.02)+0.01*MAX(MIN($A103,55)-25,0)+0.004*MAX(0,$A103-55)</f>
        <v>1.972</v>
      </c>
      <c r="C103" s="54" t="n">
        <f aca="false">IF($A103&gt;=12,1,0)+IF($A103&gt;=18,1,0)+IF($A103&gt;18,INT(($A103-18)/5),0)</f>
        <v>18</v>
      </c>
      <c r="D103" s="54" t="n">
        <f aca="false">IF($A103&gt;=26,1,0)+IF($A103&gt;=38,1,0)+IF($A103&gt;38,INT(($A103-38)/12),0)</f>
        <v>7</v>
      </c>
      <c r="E103" s="54" t="n">
        <f aca="false">IF($A103&gt;=25,1,0)+IF($A103&gt;=50,1,0)+MAX(0,INT(($A103-50)/25))</f>
        <v>3</v>
      </c>
      <c r="F103" s="54" t="n">
        <f aca="false">IF($A103&gt;=60,1,0)+MAX(0,INT(($A103-60)/30))</f>
        <v>2</v>
      </c>
      <c r="G103" s="55" t="n">
        <f aca="false">IF($A103&lt;=18,MAX(0.18,0.9-$A103*0.04),0.06+0.12*EXP(-($A103-18)/25))</f>
        <v>0.064891464477404</v>
      </c>
      <c r="H103" s="54" t="n">
        <f aca="false">IF($A103&lt;36,1,IF($A103&lt;60,2,3))</f>
        <v>3</v>
      </c>
      <c r="I103" s="56" t="n">
        <f aca="false">IF($A103&lt;6,0,0.14+0.55*(1-EXP(-($A103-6)/22)))</f>
        <v>0.681601105446559</v>
      </c>
      <c r="J103" s="56" t="n">
        <f aca="false">IF($A103&lt;18,0,0.35*(1-EXP(-($A103-17)/30)))</f>
        <v>0.326478070541088</v>
      </c>
      <c r="K103" s="53" t="n">
        <f aca="false">IF($A103&lt;=15,1,1+(1-EXP(-($A103-15)/15)))</f>
        <v>1.99604720886573</v>
      </c>
      <c r="L103" s="54" t="n">
        <f aca="false">IF($A103&lt;14,0,MIN(8,1+INT(($A103-14)/9)))</f>
        <v>8</v>
      </c>
      <c r="M103" s="54" t="n">
        <f aca="false">IF($A103&lt;16,0,IF($A103&lt;40,1,2))</f>
        <v>2</v>
      </c>
      <c r="N103" s="54" t="n">
        <f aca="false">IF($A103&lt;20,0,MIN(4,1+INT(($A103-20)/12)))</f>
        <v>4</v>
      </c>
      <c r="O103" s="54" t="n">
        <f aca="false">IF($A103&lt;22,0,MIN(3,1+INT(($A103-22)/15)))</f>
        <v>3</v>
      </c>
      <c r="P103" s="54" t="n">
        <f aca="false">IF($A103&lt;28,0,IF($A103&lt;50,1,2))</f>
        <v>2</v>
      </c>
      <c r="Q103" s="54" t="n">
        <f aca="false">1+IF($A103&gt;=34,1,0)+IF($A103&gt;=60,1,0)+MAX(0,INT(($A103-60)/30))</f>
        <v>4</v>
      </c>
      <c r="R103" s="54" t="n">
        <f aca="false">40+2*MAX(0,$A103-10)</f>
        <v>216</v>
      </c>
      <c r="S103" s="54" t="n">
        <f aca="false">60+2*MAX(0,$A103-10)</f>
        <v>236</v>
      </c>
      <c r="T103" s="54" t="n">
        <f aca="false">40+5.5*$A103</f>
        <v>579</v>
      </c>
    </row>
    <row r="104" customFormat="false" ht="15" hidden="false" customHeight="true" outlineLevel="0" collapsed="false">
      <c r="A104" s="16" t="n">
        <v>99</v>
      </c>
      <c r="B104" s="49" t="n">
        <f aca="false">1+MIN(0.5,$A104*0.02)+0.01*MAX(MIN($A104,55)-25,0)+0.004*MAX(0,$A104-55)</f>
        <v>1.976</v>
      </c>
      <c r="C104" s="50" t="n">
        <f aca="false">IF($A104&gt;=12,1,0)+IF($A104&gt;=18,1,0)+IF($A104&gt;18,INT(($A104-18)/5),0)</f>
        <v>18</v>
      </c>
      <c r="D104" s="50" t="n">
        <f aca="false">IF($A104&gt;=26,1,0)+IF($A104&gt;=38,1,0)+IF($A104&gt;38,INT(($A104-38)/12),0)</f>
        <v>7</v>
      </c>
      <c r="E104" s="50" t="n">
        <f aca="false">IF($A104&gt;=25,1,0)+IF($A104&gt;=50,1,0)+MAX(0,INT(($A104-50)/25))</f>
        <v>3</v>
      </c>
      <c r="F104" s="50" t="n">
        <f aca="false">IF($A104&gt;=60,1,0)+MAX(0,INT(($A104-60)/30))</f>
        <v>2</v>
      </c>
      <c r="G104" s="51" t="n">
        <f aca="false">IF($A104&lt;=18,MAX(0.18,0.9-$A104*0.04),0.06+0.12*EXP(-($A104-18)/25))</f>
        <v>0.0646996674118785</v>
      </c>
      <c r="H104" s="50" t="n">
        <f aca="false">IF($A104&lt;36,1,IF($A104&lt;60,2,3))</f>
        <v>3</v>
      </c>
      <c r="I104" s="52" t="n">
        <f aca="false">IF($A104&lt;6,0,0.14+0.55*(1-EXP(-($A104-6)/22)))</f>
        <v>0.681974326819216</v>
      </c>
      <c r="J104" s="52" t="n">
        <f aca="false">IF($A104&lt;18,0,0.35*(1-EXP(-($A104-17)/30)))</f>
        <v>0.327249211112938</v>
      </c>
      <c r="K104" s="49" t="n">
        <f aca="false">IF($A104&lt;=15,1,1+(1-EXP(-($A104-15)/15)))</f>
        <v>1.99630213628352</v>
      </c>
      <c r="L104" s="50" t="n">
        <f aca="false">IF($A104&lt;14,0,MIN(8,1+INT(($A104-14)/9)))</f>
        <v>8</v>
      </c>
      <c r="M104" s="50" t="n">
        <f aca="false">IF($A104&lt;16,0,IF($A104&lt;40,1,2))</f>
        <v>2</v>
      </c>
      <c r="N104" s="50" t="n">
        <f aca="false">IF($A104&lt;20,0,MIN(4,1+INT(($A104-20)/12)))</f>
        <v>4</v>
      </c>
      <c r="O104" s="50" t="n">
        <f aca="false">IF($A104&lt;22,0,MIN(3,1+INT(($A104-22)/15)))</f>
        <v>3</v>
      </c>
      <c r="P104" s="50" t="n">
        <f aca="false">IF($A104&lt;28,0,IF($A104&lt;50,1,2))</f>
        <v>2</v>
      </c>
      <c r="Q104" s="50" t="n">
        <f aca="false">1+IF($A104&gt;=34,1,0)+IF($A104&gt;=60,1,0)+MAX(0,INT(($A104-60)/30))</f>
        <v>4</v>
      </c>
      <c r="R104" s="50" t="n">
        <f aca="false">40+2*MAX(0,$A104-10)</f>
        <v>218</v>
      </c>
      <c r="S104" s="50" t="n">
        <f aca="false">60+2*MAX(0,$A104-10)</f>
        <v>238</v>
      </c>
      <c r="T104" s="50" t="n">
        <f aca="false">40+5.5*$A104</f>
        <v>584.5</v>
      </c>
    </row>
    <row r="105" customFormat="false" ht="15" hidden="false" customHeight="true" outlineLevel="0" collapsed="false">
      <c r="A105" s="24" t="n">
        <v>100</v>
      </c>
      <c r="B105" s="53" t="n">
        <f aca="false">1+MIN(0.5,$A105*0.02)+0.01*MAX(MIN($A105,55)-25,0)+0.004*MAX(0,$A105-55)</f>
        <v>1.98</v>
      </c>
      <c r="C105" s="54" t="n">
        <f aca="false">IF($A105&gt;=12,1,0)+IF($A105&gt;=18,1,0)+IF($A105&gt;18,INT(($A105-18)/5),0)</f>
        <v>18</v>
      </c>
      <c r="D105" s="54" t="n">
        <f aca="false">IF($A105&gt;=26,1,0)+IF($A105&gt;=38,1,0)+IF($A105&gt;38,INT(($A105-38)/12),0)</f>
        <v>7</v>
      </c>
      <c r="E105" s="54" t="n">
        <f aca="false">IF($A105&gt;=25,1,0)+IF($A105&gt;=50,1,0)+MAX(0,INT(($A105-50)/25))</f>
        <v>4</v>
      </c>
      <c r="F105" s="54" t="n">
        <f aca="false">IF($A105&gt;=60,1,0)+MAX(0,INT(($A105-60)/30))</f>
        <v>2</v>
      </c>
      <c r="G105" s="55" t="n">
        <f aca="false">IF($A105&lt;=18,MAX(0.18,0.9-$A105*0.04),0.06+0.12*EXP(-($A105-18)/25))</f>
        <v>0.0645153908168611</v>
      </c>
      <c r="H105" s="54" t="n">
        <f aca="false">IF($A105&lt;36,1,IF($A105&lt;60,2,3))</f>
        <v>3</v>
      </c>
      <c r="I105" s="56" t="n">
        <f aca="false">IF($A105&lt;6,0,0.14+0.55*(1-EXP(-($A105-6)/22)))</f>
        <v>0.682330963367274</v>
      </c>
      <c r="J105" s="56" t="n">
        <f aca="false">IF($A105&lt;18,0,0.35*(1-EXP(-($A105-17)/30)))</f>
        <v>0.327995070689766</v>
      </c>
      <c r="K105" s="53" t="n">
        <f aca="false">IF($A105&lt;=15,1,1+(1-EXP(-($A105-15)/15)))</f>
        <v>1.99654062266354</v>
      </c>
      <c r="L105" s="54" t="n">
        <f aca="false">IF($A105&lt;14,0,MIN(8,1+INT(($A105-14)/9)))</f>
        <v>8</v>
      </c>
      <c r="M105" s="54" t="n">
        <f aca="false">IF($A105&lt;16,0,IF($A105&lt;40,1,2))</f>
        <v>2</v>
      </c>
      <c r="N105" s="54" t="n">
        <f aca="false">IF($A105&lt;20,0,MIN(4,1+INT(($A105-20)/12)))</f>
        <v>4</v>
      </c>
      <c r="O105" s="54" t="n">
        <f aca="false">IF($A105&lt;22,0,MIN(3,1+INT(($A105-22)/15)))</f>
        <v>3</v>
      </c>
      <c r="P105" s="54" t="n">
        <f aca="false">IF($A105&lt;28,0,IF($A105&lt;50,1,2))</f>
        <v>2</v>
      </c>
      <c r="Q105" s="54" t="n">
        <f aca="false">1+IF($A105&gt;=34,1,0)+IF($A105&gt;=60,1,0)+MAX(0,INT(($A105-60)/30))</f>
        <v>4</v>
      </c>
      <c r="R105" s="54" t="n">
        <f aca="false">40+2*MAX(0,$A105-10)</f>
        <v>220</v>
      </c>
      <c r="S105" s="54" t="n">
        <f aca="false">60+2*MAX(0,$A105-10)</f>
        <v>240</v>
      </c>
      <c r="T105" s="54" t="n">
        <f aca="false">40+5.5*$A105</f>
        <v>590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N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3" min="2" style="1" width="9"/>
    <col collapsed="false" customWidth="true" hidden="false" outlineLevel="0" max="4" min="4" style="1" width="11"/>
    <col collapsed="false" customWidth="true" hidden="false" outlineLevel="0" max="8" min="5" style="1" width="10"/>
    <col collapsed="false" customWidth="true" hidden="false" outlineLevel="0" max="9" min="9" style="1" width="12"/>
    <col collapsed="false" customWidth="true" hidden="false" outlineLevel="0" max="10" min="10" style="1" width="10"/>
    <col collapsed="false" customWidth="true" hidden="false" outlineLevel="0" max="11" min="11" style="1" width="12"/>
    <col collapsed="false" customWidth="true" hidden="false" outlineLevel="0" max="13" min="12" style="1" width="13"/>
    <col collapsed="false" customWidth="true" hidden="false" outlineLevel="0" max="14" min="14" style="1" width="9"/>
  </cols>
  <sheetData>
    <row r="1" customFormat="false" ht="21.75" hidden="false" customHeight="true" outlineLevel="0" collapsed="false">
      <c r="A1" s="2" t="s">
        <v>430</v>
      </c>
    </row>
    <row r="2" customFormat="false" ht="15" hidden="false" customHeight="true" outlineLevel="0" collapsed="false">
      <c r="A2" s="3" t="s">
        <v>431</v>
      </c>
    </row>
    <row r="3" customFormat="false" ht="15" hidden="false" customHeight="true" outlineLevel="0" collapsed="false">
      <c r="A3" s="21" t="s">
        <v>432</v>
      </c>
      <c r="B3" s="22" t="n">
        <v>50</v>
      </c>
      <c r="C3" s="3" t="s">
        <v>433</v>
      </c>
    </row>
    <row r="5" customFormat="false" ht="42" hidden="false" customHeight="true" outlineLevel="0" collapsed="false">
      <c r="A5" s="11" t="s">
        <v>434</v>
      </c>
      <c r="B5" s="11" t="s">
        <v>435</v>
      </c>
      <c r="C5" s="11" t="s">
        <v>436</v>
      </c>
      <c r="D5" s="11" t="s">
        <v>437</v>
      </c>
      <c r="E5" s="11" t="s">
        <v>438</v>
      </c>
      <c r="F5" s="11" t="s">
        <v>439</v>
      </c>
      <c r="G5" s="11" t="s">
        <v>440</v>
      </c>
      <c r="H5" s="11" t="s">
        <v>441</v>
      </c>
      <c r="I5" s="11" t="s">
        <v>442</v>
      </c>
      <c r="J5" s="11" t="s">
        <v>443</v>
      </c>
      <c r="K5" s="11" t="s">
        <v>444</v>
      </c>
      <c r="L5" s="11" t="s">
        <v>445</v>
      </c>
      <c r="M5" s="11" t="s">
        <v>446</v>
      </c>
      <c r="N5" s="11" t="s">
        <v>447</v>
      </c>
    </row>
    <row r="6" customFormat="false" ht="15" hidden="false" customHeight="true" outlineLevel="0" collapsed="false">
      <c r="A6" s="12" t="s">
        <v>448</v>
      </c>
      <c r="B6" s="23" t="n">
        <v>1</v>
      </c>
      <c r="C6" s="57" t="n">
        <v>2.6</v>
      </c>
      <c r="D6" s="57" t="n">
        <v>0.3</v>
      </c>
      <c r="E6" s="23" t="n">
        <v>1</v>
      </c>
      <c r="F6" s="23" t="n">
        <v>2</v>
      </c>
      <c r="G6" s="23" t="n">
        <v>1</v>
      </c>
      <c r="H6" s="23" t="n">
        <v>10</v>
      </c>
      <c r="I6" s="12" t="s">
        <v>449</v>
      </c>
      <c r="J6" s="12" t="s">
        <v>450</v>
      </c>
      <c r="K6" s="12" t="s">
        <v>451</v>
      </c>
      <c r="L6" s="23" t="n">
        <f aca="false">IF($B$3&lt;G6,"Not yet",B6+IF(B6&gt;1,(IF($B$3&gt;=12,1,0)+IF($B$3&gt;=18,1,0)+IF($B$3&gt;18,INT(($B$3-18)/5),0)),(IF($B$3&gt;=26,1,0)+IF($B$3&gt;=38,1,0)+IF($B$3&gt;38,INT(($B$3-38)/12),0))))</f>
        <v>4</v>
      </c>
      <c r="M6" s="57" t="n">
        <f aca="false">C6*(1+MIN(0.5,$B$3*0.02)+0.01*MAX(MIN($B$3,55)-25,0)+0.004*MAX(0,$B$3-55))</f>
        <v>4.55</v>
      </c>
      <c r="N6" s="23" t="n">
        <f aca="false">B6*10+IF(LEFT(A6,7)="BASTION",200,0)+IF(LEFT(A6,4)="MOTH",400,0)</f>
        <v>10</v>
      </c>
    </row>
    <row r="7" customFormat="false" ht="15" hidden="false" customHeight="true" outlineLevel="0" collapsed="false">
      <c r="A7" s="13" t="s">
        <v>452</v>
      </c>
      <c r="B7" s="25" t="n">
        <v>1</v>
      </c>
      <c r="C7" s="58" t="n">
        <v>4.6</v>
      </c>
      <c r="D7" s="58" t="n">
        <v>0.28</v>
      </c>
      <c r="E7" s="25" t="n">
        <v>1</v>
      </c>
      <c r="F7" s="25" t="n">
        <v>3</v>
      </c>
      <c r="G7" s="25" t="n">
        <v>2</v>
      </c>
      <c r="H7" s="25" t="n">
        <v>14</v>
      </c>
      <c r="I7" s="13" t="s">
        <v>449</v>
      </c>
      <c r="J7" s="13" t="s">
        <v>450</v>
      </c>
      <c r="K7" s="13" t="s">
        <v>453</v>
      </c>
      <c r="L7" s="25" t="n">
        <f aca="false">IF($B$3&lt;G7,"Not yet",B7+IF(B7&gt;1,(IF($B$3&gt;=12,1,0)+IF($B$3&gt;=18,1,0)+IF($B$3&gt;18,INT(($B$3-18)/5),0)),(IF($B$3&gt;=26,1,0)+IF($B$3&gt;=38,1,0)+IF($B$3&gt;38,INT(($B$3-38)/12),0))))</f>
        <v>4</v>
      </c>
      <c r="M7" s="58" t="n">
        <f aca="false">C7*(1+MIN(0.5,$B$3*0.02)+0.01*MAX(MIN($B$3,55)-25,0)+0.004*MAX(0,$B$3-55))</f>
        <v>8.05</v>
      </c>
      <c r="N7" s="25" t="n">
        <f aca="false">B7*10+IF(LEFT(A7,7)="BASTION",200,0)+IF(LEFT(A7,4)="MOTH",400,0)</f>
        <v>10</v>
      </c>
    </row>
    <row r="8" customFormat="false" ht="15" hidden="false" customHeight="true" outlineLevel="0" collapsed="false">
      <c r="A8" s="12" t="s">
        <v>454</v>
      </c>
      <c r="B8" s="23" t="n">
        <v>2</v>
      </c>
      <c r="C8" s="57" t="n">
        <v>2.4</v>
      </c>
      <c r="D8" s="57" t="n">
        <v>0.35</v>
      </c>
      <c r="E8" s="23" t="n">
        <v>1</v>
      </c>
      <c r="F8" s="23" t="n">
        <v>4</v>
      </c>
      <c r="G8" s="23" t="n">
        <v>3</v>
      </c>
      <c r="H8" s="23" t="n">
        <v>18</v>
      </c>
      <c r="I8" s="12" t="s">
        <v>449</v>
      </c>
      <c r="J8" s="12" t="s">
        <v>450</v>
      </c>
      <c r="K8" s="12" t="s">
        <v>451</v>
      </c>
      <c r="L8" s="23" t="n">
        <f aca="false">IF($B$3&lt;G8,"Not yet",B8+IF(B8&gt;1,(IF($B$3&gt;=12,1,0)+IF($B$3&gt;=18,1,0)+IF($B$3&gt;18,INT(($B$3-18)/5),0)),(IF($B$3&gt;=26,1,0)+IF($B$3&gt;=38,1,0)+IF($B$3&gt;38,INT(($B$3-38)/12),0))))</f>
        <v>10</v>
      </c>
      <c r="M8" s="57" t="n">
        <f aca="false">C8*(1+MIN(0.5,$B$3*0.02)+0.01*MAX(MIN($B$3,55)-25,0)+0.004*MAX(0,$B$3-55))</f>
        <v>4.2</v>
      </c>
      <c r="N8" s="23" t="n">
        <f aca="false">B8*10+IF(LEFT(A8,7)="BASTION",200,0)+IF(LEFT(A8,4)="MOTH",400,0)</f>
        <v>20</v>
      </c>
    </row>
    <row r="9" customFormat="false" ht="15" hidden="false" customHeight="true" outlineLevel="0" collapsed="false">
      <c r="A9" s="13" t="s">
        <v>147</v>
      </c>
      <c r="B9" s="25" t="n">
        <v>4</v>
      </c>
      <c r="C9" s="58" t="n">
        <v>1.5</v>
      </c>
      <c r="D9" s="58" t="n">
        <v>0.45</v>
      </c>
      <c r="E9" s="25" t="n">
        <v>1</v>
      </c>
      <c r="F9" s="25" t="n">
        <v>6</v>
      </c>
      <c r="G9" s="25" t="n">
        <v>4</v>
      </c>
      <c r="H9" s="25" t="n">
        <v>32</v>
      </c>
      <c r="I9" s="13" t="s">
        <v>455</v>
      </c>
      <c r="J9" s="13" t="s">
        <v>451</v>
      </c>
      <c r="K9" s="13" t="s">
        <v>451</v>
      </c>
      <c r="L9" s="25" t="n">
        <f aca="false">IF($B$3&lt;G9,"Not yet",B9+IF(B9&gt;1,(IF($B$3&gt;=12,1,0)+IF($B$3&gt;=18,1,0)+IF($B$3&gt;18,INT(($B$3-18)/5),0)),(IF($B$3&gt;=26,1,0)+IF($B$3&gt;=38,1,0)+IF($B$3&gt;38,INT(($B$3-38)/12),0))))</f>
        <v>12</v>
      </c>
      <c r="M9" s="58" t="n">
        <f aca="false">C9*(1+MIN(0.5,$B$3*0.02)+0.01*MAX(MIN($B$3,55)-25,0)+0.004*MAX(0,$B$3-55))</f>
        <v>2.625</v>
      </c>
      <c r="N9" s="25" t="n">
        <f aca="false">B9*10+IF(LEFT(A9,7)="BASTION",200,0)+IF(LEFT(A9,4)="MOTH",400,0)</f>
        <v>40</v>
      </c>
    </row>
    <row r="10" customFormat="false" ht="15" hidden="false" customHeight="true" outlineLevel="0" collapsed="false">
      <c r="A10" s="12" t="s">
        <v>456</v>
      </c>
      <c r="B10" s="23" t="n">
        <v>3</v>
      </c>
      <c r="C10" s="57" t="n">
        <v>1.9</v>
      </c>
      <c r="D10" s="57" t="n">
        <v>0.5</v>
      </c>
      <c r="E10" s="23" t="n">
        <v>1</v>
      </c>
      <c r="F10" s="23" t="n">
        <v>6</v>
      </c>
      <c r="G10" s="23" t="n">
        <v>5</v>
      </c>
      <c r="H10" s="23" t="n">
        <v>28</v>
      </c>
      <c r="I10" s="12" t="s">
        <v>455</v>
      </c>
      <c r="J10" s="12" t="s">
        <v>450</v>
      </c>
      <c r="K10" s="12" t="s">
        <v>451</v>
      </c>
      <c r="L10" s="23" t="n">
        <f aca="false">IF($B$3&lt;G10,"Not yet",B10+IF(B10&gt;1,(IF($B$3&gt;=12,1,0)+IF($B$3&gt;=18,1,0)+IF($B$3&gt;18,INT(($B$3-18)/5),0)),(IF($B$3&gt;=26,1,0)+IF($B$3&gt;=38,1,0)+IF($B$3&gt;38,INT(($B$3-38)/12),0))))</f>
        <v>11</v>
      </c>
      <c r="M10" s="57" t="n">
        <f aca="false">C10*(1+MIN(0.5,$B$3*0.02)+0.01*MAX(MIN($B$3,55)-25,0)+0.004*MAX(0,$B$3-55))</f>
        <v>3.325</v>
      </c>
      <c r="N10" s="23" t="n">
        <f aca="false">B10*10+IF(LEFT(A10,7)="BASTION",200,0)+IF(LEFT(A10,4)="MOTH",400,0)</f>
        <v>30</v>
      </c>
    </row>
    <row r="11" customFormat="false" ht="15" hidden="false" customHeight="true" outlineLevel="0" collapsed="false">
      <c r="A11" s="13" t="s">
        <v>457</v>
      </c>
      <c r="B11" s="25" t="n">
        <v>14</v>
      </c>
      <c r="C11" s="58" t="n">
        <v>0.9</v>
      </c>
      <c r="D11" s="58" t="n">
        <v>0.85</v>
      </c>
      <c r="E11" s="25" t="n">
        <v>4</v>
      </c>
      <c r="F11" s="25" t="n">
        <v>40</v>
      </c>
      <c r="G11" s="25" t="n">
        <v>5</v>
      </c>
      <c r="H11" s="25" t="n">
        <v>160</v>
      </c>
      <c r="I11" s="13" t="s">
        <v>458</v>
      </c>
      <c r="J11" s="13" t="s">
        <v>451</v>
      </c>
      <c r="K11" s="13" t="s">
        <v>451</v>
      </c>
      <c r="L11" s="25" t="n">
        <f aca="false">IF($B$3&lt;G11,"Not yet",B11+IF(B11&gt;1,(IF($B$3&gt;=12,1,0)+IF($B$3&gt;=18,1,0)+IF($B$3&gt;18,INT(($B$3-18)/5),0)),(IF($B$3&gt;=26,1,0)+IF($B$3&gt;=38,1,0)+IF($B$3&gt;38,INT(($B$3-38)/12),0))))</f>
        <v>22</v>
      </c>
      <c r="M11" s="58" t="n">
        <f aca="false">C11*(1+MIN(0.5,$B$3*0.02)+0.01*MAX(MIN($B$3,55)-25,0)+0.004*MAX(0,$B$3-55))</f>
        <v>1.575</v>
      </c>
      <c r="N11" s="25" t="n">
        <f aca="false">B11*10+IF(LEFT(A11,7)="BASTION",200,0)+IF(LEFT(A11,4)="MOTH",400,0)</f>
        <v>340</v>
      </c>
    </row>
    <row r="12" customFormat="false" ht="15" hidden="false" customHeight="true" outlineLevel="0" collapsed="false">
      <c r="A12" s="12" t="s">
        <v>459</v>
      </c>
      <c r="B12" s="23" t="n">
        <v>2</v>
      </c>
      <c r="C12" s="57" t="n">
        <v>3.8</v>
      </c>
      <c r="D12" s="57" t="n">
        <v>0.35</v>
      </c>
      <c r="E12" s="23" t="n">
        <v>1</v>
      </c>
      <c r="F12" s="23" t="n">
        <v>5</v>
      </c>
      <c r="G12" s="23" t="n">
        <v>6</v>
      </c>
      <c r="H12" s="23" t="n">
        <v>18</v>
      </c>
      <c r="I12" s="12" t="s">
        <v>449</v>
      </c>
      <c r="J12" s="12" t="s">
        <v>450</v>
      </c>
      <c r="K12" s="12" t="s">
        <v>453</v>
      </c>
      <c r="L12" s="23" t="n">
        <f aca="false">IF($B$3&lt;G12,"Not yet",B12+IF(B12&gt;1,(IF($B$3&gt;=12,1,0)+IF($B$3&gt;=18,1,0)+IF($B$3&gt;18,INT(($B$3-18)/5),0)),(IF($B$3&gt;=26,1,0)+IF($B$3&gt;=38,1,0)+IF($B$3&gt;38,INT(($B$3-38)/12),0))))</f>
        <v>10</v>
      </c>
      <c r="M12" s="57" t="n">
        <f aca="false">C12*(1+MIN(0.5,$B$3*0.02)+0.01*MAX(MIN($B$3,55)-25,0)+0.004*MAX(0,$B$3-55))</f>
        <v>6.65</v>
      </c>
      <c r="N12" s="23" t="n">
        <f aca="false">B12*10+IF(LEFT(A12,7)="BASTION",200,0)+IF(LEFT(A12,4)="MOTH",400,0)</f>
        <v>20</v>
      </c>
    </row>
    <row r="13" customFormat="false" ht="15" hidden="false" customHeight="true" outlineLevel="0" collapsed="false">
      <c r="A13" s="13" t="s">
        <v>460</v>
      </c>
      <c r="B13" s="25" t="n">
        <v>3</v>
      </c>
      <c r="C13" s="58" t="n">
        <v>2.2</v>
      </c>
      <c r="D13" s="58" t="n">
        <v>0.5</v>
      </c>
      <c r="E13" s="25" t="n">
        <v>1</v>
      </c>
      <c r="F13" s="25" t="n">
        <v>7</v>
      </c>
      <c r="G13" s="25" t="n">
        <v>7</v>
      </c>
      <c r="H13" s="25" t="n">
        <v>26</v>
      </c>
      <c r="I13" s="13" t="s">
        <v>455</v>
      </c>
      <c r="J13" s="13" t="s">
        <v>450</v>
      </c>
      <c r="K13" s="13" t="s">
        <v>453</v>
      </c>
      <c r="L13" s="25" t="n">
        <f aca="false">IF($B$3&lt;G13,"Not yet",B13+IF(B13&gt;1,(IF($B$3&gt;=12,1,0)+IF($B$3&gt;=18,1,0)+IF($B$3&gt;18,INT(($B$3-18)/5),0)),(IF($B$3&gt;=26,1,0)+IF($B$3&gt;=38,1,0)+IF($B$3&gt;38,INT(($B$3-38)/12),0))))</f>
        <v>11</v>
      </c>
      <c r="M13" s="58" t="n">
        <f aca="false">C13*(1+MIN(0.5,$B$3*0.02)+0.01*MAX(MIN($B$3,55)-25,0)+0.004*MAX(0,$B$3-55))</f>
        <v>3.85</v>
      </c>
      <c r="N13" s="25" t="n">
        <f aca="false">B13*10+IF(LEFT(A13,7)="BASTION",200,0)+IF(LEFT(A13,4)="MOTH",400,0)</f>
        <v>30</v>
      </c>
    </row>
    <row r="14" customFormat="false" ht="15" hidden="false" customHeight="true" outlineLevel="0" collapsed="false">
      <c r="A14" s="12" t="s">
        <v>461</v>
      </c>
      <c r="B14" s="23" t="n">
        <v>2</v>
      </c>
      <c r="C14" s="57" t="n">
        <v>2</v>
      </c>
      <c r="D14" s="57" t="n">
        <v>0.42</v>
      </c>
      <c r="E14" s="23" t="n">
        <v>1</v>
      </c>
      <c r="F14" s="23" t="n">
        <v>5</v>
      </c>
      <c r="G14" s="23" t="n">
        <v>8</v>
      </c>
      <c r="H14" s="23" t="n">
        <v>20</v>
      </c>
      <c r="I14" s="12" t="s">
        <v>449</v>
      </c>
      <c r="J14" s="12" t="s">
        <v>450</v>
      </c>
      <c r="K14" s="12" t="s">
        <v>451</v>
      </c>
      <c r="L14" s="23" t="n">
        <f aca="false">IF($B$3&lt;G14,"Not yet",B14+IF(B14&gt;1,(IF($B$3&gt;=12,1,0)+IF($B$3&gt;=18,1,0)+IF($B$3&gt;18,INT(($B$3-18)/5),0)),(IF($B$3&gt;=26,1,0)+IF($B$3&gt;=38,1,0)+IF($B$3&gt;38,INT(($B$3-38)/12),0))))</f>
        <v>10</v>
      </c>
      <c r="M14" s="57" t="n">
        <f aca="false">C14*(1+MIN(0.5,$B$3*0.02)+0.01*MAX(MIN($B$3,55)-25,0)+0.004*MAX(0,$B$3-55))</f>
        <v>3.5</v>
      </c>
      <c r="N14" s="23" t="n">
        <f aca="false">B14*10+IF(LEFT(A14,7)="BASTION",200,0)+IF(LEFT(A14,4)="MOTH",400,0)</f>
        <v>20</v>
      </c>
    </row>
    <row r="15" customFormat="false" ht="15" hidden="false" customHeight="true" outlineLevel="0" collapsed="false">
      <c r="A15" s="13" t="s">
        <v>462</v>
      </c>
      <c r="B15" s="25" t="n">
        <v>5</v>
      </c>
      <c r="C15" s="58" t="n">
        <v>1.2</v>
      </c>
      <c r="D15" s="58" t="n">
        <v>0.65</v>
      </c>
      <c r="E15" s="25" t="n">
        <v>2</v>
      </c>
      <c r="F15" s="25" t="n">
        <v>10</v>
      </c>
      <c r="G15" s="25" t="n">
        <v>9</v>
      </c>
      <c r="H15" s="25" t="n">
        <v>45</v>
      </c>
      <c r="I15" s="13" t="s">
        <v>463</v>
      </c>
      <c r="J15" s="13" t="s">
        <v>451</v>
      </c>
      <c r="K15" s="13" t="s">
        <v>451</v>
      </c>
      <c r="L15" s="25" t="n">
        <f aca="false">IF($B$3&lt;G15,"Not yet",B15+IF(B15&gt;1,(IF($B$3&gt;=12,1,0)+IF($B$3&gt;=18,1,0)+IF($B$3&gt;18,INT(($B$3-18)/5),0)),(IF($B$3&gt;=26,1,0)+IF($B$3&gt;=38,1,0)+IF($B$3&gt;38,INT(($B$3-38)/12),0))))</f>
        <v>13</v>
      </c>
      <c r="M15" s="58" t="n">
        <f aca="false">C15*(1+MIN(0.5,$B$3*0.02)+0.01*MAX(MIN($B$3,55)-25,0)+0.004*MAX(0,$B$3-55))</f>
        <v>2.1</v>
      </c>
      <c r="N15" s="25" t="n">
        <f aca="false">B15*10+IF(LEFT(A15,7)="BASTION",200,0)+IF(LEFT(A15,4)="MOTH",400,0)</f>
        <v>50</v>
      </c>
    </row>
    <row r="16" customFormat="false" ht="15" hidden="false" customHeight="true" outlineLevel="0" collapsed="false">
      <c r="A16" s="12" t="s">
        <v>464</v>
      </c>
      <c r="B16" s="23" t="n">
        <v>40</v>
      </c>
      <c r="C16" s="57" t="n">
        <v>0.85</v>
      </c>
      <c r="D16" s="57" t="n">
        <v>1.15</v>
      </c>
      <c r="E16" s="23" t="n">
        <v>5</v>
      </c>
      <c r="F16" s="23" t="n">
        <v>60</v>
      </c>
      <c r="G16" s="23" t="n">
        <v>10</v>
      </c>
      <c r="H16" s="23" t="n">
        <v>260</v>
      </c>
      <c r="I16" s="12" t="s">
        <v>458</v>
      </c>
      <c r="J16" s="12" t="s">
        <v>451</v>
      </c>
      <c r="K16" s="12" t="s">
        <v>451</v>
      </c>
      <c r="L16" s="23" t="n">
        <f aca="false">IF($B$3&lt;G16,"Not yet",B16+IF(B16&gt;1,(IF($B$3&gt;=12,1,0)+IF($B$3&gt;=18,1,0)+IF($B$3&gt;18,INT(($B$3-18)/5),0)),(IF($B$3&gt;=26,1,0)+IF($B$3&gt;=38,1,0)+IF($B$3&gt;38,INT(($B$3-38)/12),0))))</f>
        <v>48</v>
      </c>
      <c r="M16" s="57" t="n">
        <f aca="false">C16*(1+MIN(0.5,$B$3*0.02)+0.01*MAX(MIN($B$3,55)-25,0)+0.004*MAX(0,$B$3-55))</f>
        <v>1.4875</v>
      </c>
      <c r="N16" s="23" t="n">
        <f aca="false">B16*10+IF(LEFT(A16,7)="BASTION",200,0)+IF(LEFT(A16,4)="MOTH",400,0)</f>
        <v>800</v>
      </c>
    </row>
    <row r="17" customFormat="false" ht="15" hidden="false" customHeight="true" outlineLevel="0" collapsed="false">
      <c r="A17" s="13" t="s">
        <v>465</v>
      </c>
      <c r="B17" s="25" t="n">
        <v>3</v>
      </c>
      <c r="C17" s="58" t="n">
        <v>3.4</v>
      </c>
      <c r="D17" s="58" t="n">
        <v>0.3</v>
      </c>
      <c r="E17" s="25" t="n">
        <v>1</v>
      </c>
      <c r="F17" s="25" t="n">
        <v>4</v>
      </c>
      <c r="G17" s="25" t="n">
        <v>10</v>
      </c>
      <c r="H17" s="25" t="n">
        <v>18</v>
      </c>
      <c r="I17" s="13" t="s">
        <v>455</v>
      </c>
      <c r="J17" s="13" t="s">
        <v>450</v>
      </c>
      <c r="K17" s="13" t="s">
        <v>451</v>
      </c>
      <c r="L17" s="25" t="n">
        <f aca="false">IF($B$3&lt;G17,"Not yet",B17+IF(B17&gt;1,(IF($B$3&gt;=12,1,0)+IF($B$3&gt;=18,1,0)+IF($B$3&gt;18,INT(($B$3-18)/5),0)),(IF($B$3&gt;=26,1,0)+IF($B$3&gt;=38,1,0)+IF($B$3&gt;38,INT(($B$3-38)/12),0))))</f>
        <v>11</v>
      </c>
      <c r="M17" s="58" t="n">
        <f aca="false">C17*(1+MIN(0.5,$B$3*0.02)+0.01*MAX(MIN($B$3,55)-25,0)+0.004*MAX(0,$B$3-55))</f>
        <v>5.95</v>
      </c>
      <c r="N17" s="25" t="n">
        <f aca="false">B17*10+IF(LEFT(A17,7)="BASTION",200,0)+IF(LEFT(A17,4)="MOTH",400,0)</f>
        <v>30</v>
      </c>
    </row>
    <row r="18" customFormat="false" ht="15" hidden="false" customHeight="true" outlineLevel="0" collapsed="false">
      <c r="A18" s="12" t="s">
        <v>466</v>
      </c>
      <c r="B18" s="23" t="n">
        <v>6</v>
      </c>
      <c r="C18" s="57" t="n">
        <v>1.7</v>
      </c>
      <c r="D18" s="57" t="n">
        <v>0.5</v>
      </c>
      <c r="E18" s="23" t="n">
        <v>2</v>
      </c>
      <c r="F18" s="23" t="n">
        <v>8</v>
      </c>
      <c r="G18" s="23" t="n">
        <v>12</v>
      </c>
      <c r="H18" s="23" t="n">
        <v>40</v>
      </c>
      <c r="I18" s="12" t="s">
        <v>463</v>
      </c>
      <c r="J18" s="12" t="s">
        <v>451</v>
      </c>
      <c r="K18" s="12" t="s">
        <v>451</v>
      </c>
      <c r="L18" s="23" t="n">
        <f aca="false">IF($B$3&lt;G18,"Not yet",B18+IF(B18&gt;1,(IF($B$3&gt;=12,1,0)+IF($B$3&gt;=18,1,0)+IF($B$3&gt;18,INT(($B$3-18)/5),0)),(IF($B$3&gt;=26,1,0)+IF($B$3&gt;=38,1,0)+IF($B$3&gt;38,INT(($B$3-38)/12),0))))</f>
        <v>14</v>
      </c>
      <c r="M18" s="57" t="n">
        <f aca="false">C18*(1+MIN(0.5,$B$3*0.02)+0.01*MAX(MIN($B$3,55)-25,0)+0.004*MAX(0,$B$3-55))</f>
        <v>2.975</v>
      </c>
      <c r="N18" s="23" t="n">
        <f aca="false">B18*10+IF(LEFT(A18,7)="BASTION",200,0)+IF(LEFT(A18,4)="MOTH",400,0)</f>
        <v>60</v>
      </c>
    </row>
    <row r="19" customFormat="false" ht="15" hidden="false" customHeight="true" outlineLevel="0" collapsed="false">
      <c r="A19" s="13" t="s">
        <v>467</v>
      </c>
      <c r="B19" s="25" t="n">
        <v>6</v>
      </c>
      <c r="C19" s="58" t="n">
        <v>2</v>
      </c>
      <c r="D19" s="58" t="n">
        <v>0.55</v>
      </c>
      <c r="E19" s="25" t="n">
        <v>2</v>
      </c>
      <c r="F19" s="25" t="n">
        <v>12</v>
      </c>
      <c r="G19" s="25" t="n">
        <v>14</v>
      </c>
      <c r="H19" s="25" t="n">
        <v>55</v>
      </c>
      <c r="I19" s="13" t="s">
        <v>463</v>
      </c>
      <c r="J19" s="13" t="s">
        <v>450</v>
      </c>
      <c r="K19" s="13" t="s">
        <v>451</v>
      </c>
      <c r="L19" s="25" t="n">
        <f aca="false">IF($B$3&lt;G19,"Not yet",B19+IF(B19&gt;1,(IF($B$3&gt;=12,1,0)+IF($B$3&gt;=18,1,0)+IF($B$3&gt;18,INT(($B$3-18)/5),0)),(IF($B$3&gt;=26,1,0)+IF($B$3&gt;=38,1,0)+IF($B$3&gt;38,INT(($B$3-38)/12),0))))</f>
        <v>14</v>
      </c>
      <c r="M19" s="58" t="n">
        <f aca="false">C19*(1+MIN(0.5,$B$3*0.02)+0.01*MAX(MIN($B$3,55)-25,0)+0.004*MAX(0,$B$3-55))</f>
        <v>3.5</v>
      </c>
      <c r="N19" s="25" t="n">
        <f aca="false">B19*10+IF(LEFT(A19,7)="BASTION",200,0)+IF(LEFT(A19,4)="MOTH",400,0)</f>
        <v>60</v>
      </c>
    </row>
    <row r="20" customFormat="false" ht="15" hidden="false" customHeight="true" outlineLevel="0" collapsed="false">
      <c r="A20" s="12" t="s">
        <v>468</v>
      </c>
      <c r="B20" s="23" t="n">
        <v>10</v>
      </c>
      <c r="C20" s="57" t="n">
        <v>1.3</v>
      </c>
      <c r="D20" s="57" t="n">
        <v>0.6</v>
      </c>
      <c r="E20" s="23" t="n">
        <v>2</v>
      </c>
      <c r="F20" s="23" t="n">
        <v>14</v>
      </c>
      <c r="G20" s="23" t="n">
        <v>16</v>
      </c>
      <c r="H20" s="23" t="n">
        <v>70</v>
      </c>
      <c r="I20" s="12" t="s">
        <v>463</v>
      </c>
      <c r="J20" s="12" t="s">
        <v>451</v>
      </c>
      <c r="K20" s="12" t="s">
        <v>451</v>
      </c>
      <c r="L20" s="23" t="n">
        <f aca="false">IF($B$3&lt;G20,"Not yet",B20+IF(B20&gt;1,(IF($B$3&gt;=12,1,0)+IF($B$3&gt;=18,1,0)+IF($B$3&gt;18,INT(($B$3-18)/5),0)),(IF($B$3&gt;=26,1,0)+IF($B$3&gt;=38,1,0)+IF($B$3&gt;38,INT(($B$3-38)/12),0))))</f>
        <v>18</v>
      </c>
      <c r="M20" s="57" t="n">
        <f aca="false">C20*(1+MIN(0.5,$B$3*0.02)+0.01*MAX(MIN($B$3,55)-25,0)+0.004*MAX(0,$B$3-55))</f>
        <v>2.275</v>
      </c>
      <c r="N20" s="23" t="n">
        <f aca="false">B20*10+IF(LEFT(A20,7)="BASTION",200,0)+IF(LEFT(A20,4)="MOTH",400,0)</f>
        <v>100</v>
      </c>
    </row>
    <row r="21" customFormat="false" ht="15" hidden="false" customHeight="true" outlineLevel="0" collapsed="false">
      <c r="A21" s="13" t="s">
        <v>469</v>
      </c>
      <c r="B21" s="25" t="n">
        <v>5</v>
      </c>
      <c r="C21" s="58" t="n">
        <v>3</v>
      </c>
      <c r="D21" s="58" t="n">
        <v>0.4</v>
      </c>
      <c r="E21" s="25" t="n">
        <v>1</v>
      </c>
      <c r="F21" s="25" t="n">
        <v>9</v>
      </c>
      <c r="G21" s="25" t="n">
        <v>20</v>
      </c>
      <c r="H21" s="25" t="n">
        <v>45</v>
      </c>
      <c r="I21" s="13" t="s">
        <v>455</v>
      </c>
      <c r="J21" s="13" t="s">
        <v>450</v>
      </c>
      <c r="K21" s="13" t="s">
        <v>451</v>
      </c>
      <c r="L21" s="25" t="n">
        <f aca="false">IF($B$3&lt;G21,"Not yet",B21+IF(B21&gt;1,(IF($B$3&gt;=12,1,0)+IF($B$3&gt;=18,1,0)+IF($B$3&gt;18,INT(($B$3-18)/5),0)),(IF($B$3&gt;=26,1,0)+IF($B$3&gt;=38,1,0)+IF($B$3&gt;38,INT(($B$3-38)/12),0))))</f>
        <v>13</v>
      </c>
      <c r="M21" s="58" t="n">
        <f aca="false">C21*(1+MIN(0.5,$B$3*0.02)+0.01*MAX(MIN($B$3,55)-25,0)+0.004*MAX(0,$B$3-55))</f>
        <v>5.25</v>
      </c>
      <c r="N21" s="25" t="n">
        <f aca="false">B21*10+IF(LEFT(A21,7)="BASTION",200,0)+IF(LEFT(A21,4)="MOTH",400,0)</f>
        <v>50</v>
      </c>
    </row>
    <row r="22" customFormat="false" ht="15" hidden="false" customHeight="true" outlineLevel="0" collapsed="false">
      <c r="A22" s="12" t="s">
        <v>470</v>
      </c>
      <c r="B22" s="23" t="n">
        <v>8</v>
      </c>
      <c r="C22" s="57" t="n">
        <v>1.1</v>
      </c>
      <c r="D22" s="57" t="n">
        <v>0.55</v>
      </c>
      <c r="E22" s="23" t="n">
        <v>2</v>
      </c>
      <c r="F22" s="23" t="n">
        <v>12</v>
      </c>
      <c r="G22" s="23" t="n">
        <v>22</v>
      </c>
      <c r="H22" s="23" t="n">
        <v>60</v>
      </c>
      <c r="I22" s="12" t="s">
        <v>463</v>
      </c>
      <c r="J22" s="12" t="s">
        <v>451</v>
      </c>
      <c r="K22" s="12" t="s">
        <v>451</v>
      </c>
      <c r="L22" s="23" t="n">
        <f aca="false">IF($B$3&lt;G22,"Not yet",B22+IF(B22&gt;1,(IF($B$3&gt;=12,1,0)+IF($B$3&gt;=18,1,0)+IF($B$3&gt;18,INT(($B$3-18)/5),0)),(IF($B$3&gt;=26,1,0)+IF($B$3&gt;=38,1,0)+IF($B$3&gt;38,INT(($B$3-38)/12),0))))</f>
        <v>16</v>
      </c>
      <c r="M22" s="57" t="n">
        <f aca="false">C22*(1+MIN(0.5,$B$3*0.02)+0.01*MAX(MIN($B$3,55)-25,0)+0.004*MAX(0,$B$3-55))</f>
        <v>1.925</v>
      </c>
      <c r="N22" s="23" t="n">
        <f aca="false">B22*10+IF(LEFT(A22,7)="BASTION",200,0)+IF(LEFT(A22,4)="MOTH",400,0)</f>
        <v>80</v>
      </c>
    </row>
    <row r="23" customFormat="false" ht="15" hidden="false" customHeight="true" outlineLevel="0" collapsed="false">
      <c r="A23" s="13" t="s">
        <v>471</v>
      </c>
      <c r="B23" s="25" t="n">
        <v>7</v>
      </c>
      <c r="C23" s="58" t="n">
        <v>1.6</v>
      </c>
      <c r="D23" s="58" t="n">
        <v>0.5</v>
      </c>
      <c r="E23" s="25" t="n">
        <v>1</v>
      </c>
      <c r="F23" s="25" t="n">
        <v>10</v>
      </c>
      <c r="G23" s="25" t="n">
        <v>28</v>
      </c>
      <c r="H23" s="25" t="n">
        <v>50</v>
      </c>
      <c r="I23" s="13" t="s">
        <v>463</v>
      </c>
      <c r="J23" s="13" t="s">
        <v>450</v>
      </c>
      <c r="K23" s="13" t="s">
        <v>451</v>
      </c>
      <c r="L23" s="25" t="n">
        <f aca="false">IF($B$3&lt;G23,"Not yet",B23+IF(B23&gt;1,(IF($B$3&gt;=12,1,0)+IF($B$3&gt;=18,1,0)+IF($B$3&gt;18,INT(($B$3-18)/5),0)),(IF($B$3&gt;=26,1,0)+IF($B$3&gt;=38,1,0)+IF($B$3&gt;38,INT(($B$3-38)/12),0))))</f>
        <v>15</v>
      </c>
      <c r="M23" s="58" t="n">
        <f aca="false">C23*(1+MIN(0.5,$B$3*0.02)+0.01*MAX(MIN($B$3,55)-25,0)+0.004*MAX(0,$B$3-55))</f>
        <v>2.8</v>
      </c>
      <c r="N23" s="25" t="n">
        <f aca="false">B23*10+IF(LEFT(A23,7)="BASTION",200,0)+IF(LEFT(A23,4)="MOTH",400,0)</f>
        <v>70</v>
      </c>
    </row>
    <row r="25" customFormat="false" ht="15" hidden="false" customHeight="true" outlineLevel="0" collapsed="false">
      <c r="A25" s="3" t="s">
        <v>472</v>
      </c>
    </row>
    <row r="26" customFormat="false" ht="15" hidden="false" customHeight="true" outlineLevel="0" collapsed="false">
      <c r="A26" s="3" t="s">
        <v>473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P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7" min="3" style="0" width="8"/>
    <col collapsed="false" customWidth="true" hidden="false" outlineLevel="0" max="9" min="8" style="0" width="9"/>
    <col collapsed="false" customWidth="true" hidden="false" outlineLevel="0" max="10" min="10" style="0" width="8"/>
    <col collapsed="false" customWidth="true" hidden="false" outlineLevel="0" max="11" min="11" style="0" width="10"/>
    <col collapsed="false" customWidth="true" hidden="false" outlineLevel="0" max="12" min="12" style="0" width="9"/>
    <col collapsed="false" customWidth="true" hidden="false" outlineLevel="0" max="13" min="13" style="0" width="22"/>
    <col collapsed="false" customWidth="true" hidden="false" outlineLevel="0" max="14" min="14" style="0" width="26"/>
    <col collapsed="false" customWidth="true" hidden="false" outlineLevel="0" max="15" min="15" style="0" width="90"/>
    <col collapsed="false" customWidth="true" hidden="false" outlineLevel="0" max="16" min="16" style="0" width="40"/>
  </cols>
  <sheetData>
    <row r="1" customFormat="false" ht="22.05" hidden="false" customHeight="false" outlineLevel="0" collapsed="false">
      <c r="A1" s="59" t="s">
        <v>474</v>
      </c>
    </row>
    <row r="2" customFormat="false" ht="15" hidden="false" customHeight="false" outlineLevel="0" collapsed="false">
      <c r="A2" s="60" t="s">
        <v>475</v>
      </c>
    </row>
    <row r="4" customFormat="false" ht="30" hidden="false" customHeight="true" outlineLevel="0" collapsed="false">
      <c r="A4" s="11" t="s">
        <v>434</v>
      </c>
      <c r="B4" s="11" t="s">
        <v>476</v>
      </c>
      <c r="C4" s="11" t="s">
        <v>477</v>
      </c>
      <c r="D4" s="11" t="s">
        <v>435</v>
      </c>
      <c r="E4" s="11" t="s">
        <v>436</v>
      </c>
      <c r="F4" s="11" t="s">
        <v>478</v>
      </c>
      <c r="G4" s="11" t="s">
        <v>479</v>
      </c>
      <c r="H4" s="11" t="s">
        <v>480</v>
      </c>
      <c r="I4" s="11" t="s">
        <v>441</v>
      </c>
      <c r="J4" s="11" t="s">
        <v>447</v>
      </c>
      <c r="K4" s="11" t="s">
        <v>103</v>
      </c>
      <c r="L4" s="11" t="s">
        <v>443</v>
      </c>
      <c r="M4" s="11" t="s">
        <v>481</v>
      </c>
      <c r="N4" s="11" t="s">
        <v>482</v>
      </c>
      <c r="O4" s="11" t="s">
        <v>483</v>
      </c>
      <c r="P4" s="11" t="s">
        <v>484</v>
      </c>
    </row>
    <row r="5" customFormat="false" ht="96" hidden="false" customHeight="true" outlineLevel="0" collapsed="false">
      <c r="A5" s="19" t="s">
        <v>485</v>
      </c>
      <c r="B5" s="61" t="s">
        <v>486</v>
      </c>
      <c r="C5" s="61" t="n">
        <v>1</v>
      </c>
      <c r="D5" s="61" t="n">
        <v>1</v>
      </c>
      <c r="E5" s="61" t="n">
        <v>2.6</v>
      </c>
      <c r="F5" s="61" t="n">
        <v>1</v>
      </c>
      <c r="G5" s="61" t="n">
        <v>2</v>
      </c>
      <c r="H5" s="61" t="n">
        <v>0.8</v>
      </c>
      <c r="I5" s="61" t="n">
        <v>10</v>
      </c>
      <c r="J5" s="61" t="n">
        <v>10</v>
      </c>
      <c r="K5" s="61" t="s">
        <v>449</v>
      </c>
      <c r="L5" s="61" t="s">
        <v>450</v>
      </c>
      <c r="M5" s="61" t="s">
        <v>487</v>
      </c>
      <c r="N5" s="61" t="s">
        <v>488</v>
      </c>
      <c r="O5" s="61" t="s">
        <v>489</v>
      </c>
      <c r="P5" s="61" t="s">
        <v>490</v>
      </c>
    </row>
    <row r="6" customFormat="false" ht="96" hidden="false" customHeight="true" outlineLevel="0" collapsed="false">
      <c r="A6" s="62" t="s">
        <v>491</v>
      </c>
      <c r="B6" s="63" t="s">
        <v>453</v>
      </c>
      <c r="C6" s="63" t="n">
        <v>2</v>
      </c>
      <c r="D6" s="63" t="n">
        <v>1</v>
      </c>
      <c r="E6" s="63" t="n">
        <v>4.6</v>
      </c>
      <c r="F6" s="63" t="n">
        <v>1</v>
      </c>
      <c r="G6" s="63" t="n">
        <v>3</v>
      </c>
      <c r="H6" s="63" t="n">
        <v>1.2</v>
      </c>
      <c r="I6" s="63" t="n">
        <v>14</v>
      </c>
      <c r="J6" s="63" t="n">
        <v>10</v>
      </c>
      <c r="K6" s="63" t="s">
        <v>449</v>
      </c>
      <c r="L6" s="63" t="s">
        <v>450</v>
      </c>
      <c r="M6" s="63" t="s">
        <v>487</v>
      </c>
      <c r="N6" s="63" t="s">
        <v>492</v>
      </c>
      <c r="O6" s="63" t="s">
        <v>493</v>
      </c>
      <c r="P6" s="63" t="s">
        <v>494</v>
      </c>
    </row>
    <row r="7" customFormat="false" ht="96" hidden="false" customHeight="true" outlineLevel="0" collapsed="false">
      <c r="A7" s="19" t="s">
        <v>495</v>
      </c>
      <c r="B7" s="61" t="s">
        <v>486</v>
      </c>
      <c r="C7" s="61" t="n">
        <v>3</v>
      </c>
      <c r="D7" s="61" t="n">
        <v>2</v>
      </c>
      <c r="E7" s="61" t="n">
        <v>2.4</v>
      </c>
      <c r="F7" s="61" t="n">
        <v>1</v>
      </c>
      <c r="G7" s="61" t="n">
        <v>4</v>
      </c>
      <c r="H7" s="61" t="n">
        <v>1.6</v>
      </c>
      <c r="I7" s="61" t="n">
        <v>18</v>
      </c>
      <c r="J7" s="61" t="n">
        <v>20</v>
      </c>
      <c r="K7" s="61" t="s">
        <v>449</v>
      </c>
      <c r="L7" s="61" t="s">
        <v>450</v>
      </c>
      <c r="M7" s="61" t="s">
        <v>487</v>
      </c>
      <c r="N7" s="61" t="s">
        <v>496</v>
      </c>
      <c r="O7" s="61" t="s">
        <v>497</v>
      </c>
      <c r="P7" s="61" t="s">
        <v>498</v>
      </c>
    </row>
    <row r="8" customFormat="false" ht="96" hidden="false" customHeight="true" outlineLevel="0" collapsed="false">
      <c r="A8" s="62" t="s">
        <v>499</v>
      </c>
      <c r="B8" s="63" t="s">
        <v>463</v>
      </c>
      <c r="C8" s="63" t="n">
        <v>4</v>
      </c>
      <c r="D8" s="63" t="n">
        <v>4</v>
      </c>
      <c r="E8" s="63" t="n">
        <v>1.5</v>
      </c>
      <c r="F8" s="63" t="n">
        <v>1</v>
      </c>
      <c r="G8" s="63" t="n">
        <v>6</v>
      </c>
      <c r="H8" s="63" t="n">
        <v>2.4</v>
      </c>
      <c r="I8" s="63" t="n">
        <v>32</v>
      </c>
      <c r="J8" s="63" t="n">
        <v>40</v>
      </c>
      <c r="K8" s="63" t="s">
        <v>455</v>
      </c>
      <c r="L8" s="63" t="s">
        <v>451</v>
      </c>
      <c r="M8" s="63" t="s">
        <v>487</v>
      </c>
      <c r="N8" s="63" t="s">
        <v>500</v>
      </c>
      <c r="O8" s="63" t="s">
        <v>501</v>
      </c>
      <c r="P8" s="63" t="s">
        <v>502</v>
      </c>
    </row>
    <row r="9" customFormat="false" ht="96" hidden="false" customHeight="true" outlineLevel="0" collapsed="false">
      <c r="A9" s="19" t="s">
        <v>503</v>
      </c>
      <c r="B9" s="61" t="s">
        <v>504</v>
      </c>
      <c r="C9" s="61" t="n">
        <v>5</v>
      </c>
      <c r="D9" s="61" t="n">
        <v>3</v>
      </c>
      <c r="E9" s="61" t="n">
        <v>1.9</v>
      </c>
      <c r="F9" s="61" t="n">
        <v>1</v>
      </c>
      <c r="G9" s="61" t="n">
        <v>6</v>
      </c>
      <c r="H9" s="61" t="n">
        <v>2.4</v>
      </c>
      <c r="I9" s="61" t="n">
        <v>28</v>
      </c>
      <c r="J9" s="61" t="n">
        <v>30</v>
      </c>
      <c r="K9" s="61" t="s">
        <v>455</v>
      </c>
      <c r="L9" s="61" t="s">
        <v>450</v>
      </c>
      <c r="M9" s="61" t="s">
        <v>487</v>
      </c>
      <c r="N9" s="61" t="s">
        <v>505</v>
      </c>
      <c r="O9" s="61" t="s">
        <v>506</v>
      </c>
      <c r="P9" s="61" t="s">
        <v>507</v>
      </c>
    </row>
    <row r="10" customFormat="false" ht="96" hidden="false" customHeight="true" outlineLevel="0" collapsed="false">
      <c r="A10" s="62" t="s">
        <v>508</v>
      </c>
      <c r="B10" s="63" t="s">
        <v>463</v>
      </c>
      <c r="C10" s="63" t="n">
        <v>9</v>
      </c>
      <c r="D10" s="63" t="n">
        <v>5</v>
      </c>
      <c r="E10" s="63" t="n">
        <v>1.2</v>
      </c>
      <c r="F10" s="63" t="n">
        <v>2</v>
      </c>
      <c r="G10" s="63" t="n">
        <v>10</v>
      </c>
      <c r="H10" s="63" t="n">
        <v>4</v>
      </c>
      <c r="I10" s="63" t="n">
        <v>45</v>
      </c>
      <c r="J10" s="63" t="n">
        <v>50</v>
      </c>
      <c r="K10" s="63" t="s">
        <v>463</v>
      </c>
      <c r="L10" s="63" t="s">
        <v>451</v>
      </c>
      <c r="M10" s="63" t="s">
        <v>487</v>
      </c>
      <c r="N10" s="63" t="s">
        <v>509</v>
      </c>
      <c r="O10" s="63" t="s">
        <v>510</v>
      </c>
      <c r="P10" s="63" t="s">
        <v>511</v>
      </c>
    </row>
    <row r="11" customFormat="false" ht="96" hidden="false" customHeight="true" outlineLevel="0" collapsed="false">
      <c r="A11" s="19" t="s">
        <v>512</v>
      </c>
      <c r="B11" s="61" t="s">
        <v>453</v>
      </c>
      <c r="C11" s="61" t="n">
        <v>7</v>
      </c>
      <c r="D11" s="61" t="n">
        <v>3</v>
      </c>
      <c r="E11" s="61" t="n">
        <v>2.2</v>
      </c>
      <c r="F11" s="61" t="n">
        <v>1</v>
      </c>
      <c r="G11" s="61" t="n">
        <v>7</v>
      </c>
      <c r="H11" s="61" t="n">
        <v>2.8</v>
      </c>
      <c r="I11" s="61" t="n">
        <v>26</v>
      </c>
      <c r="J11" s="61" t="n">
        <v>30</v>
      </c>
      <c r="K11" s="61" t="s">
        <v>455</v>
      </c>
      <c r="L11" s="61" t="s">
        <v>450</v>
      </c>
      <c r="M11" s="61" t="s">
        <v>487</v>
      </c>
      <c r="N11" s="61" t="s">
        <v>513</v>
      </c>
      <c r="O11" s="61" t="s">
        <v>514</v>
      </c>
      <c r="P11" s="61" t="s">
        <v>515</v>
      </c>
    </row>
    <row r="12" customFormat="false" ht="96" hidden="false" customHeight="true" outlineLevel="0" collapsed="false">
      <c r="A12" s="62" t="s">
        <v>516</v>
      </c>
      <c r="B12" s="63" t="s">
        <v>453</v>
      </c>
      <c r="C12" s="63" t="n">
        <v>6</v>
      </c>
      <c r="D12" s="63" t="n">
        <v>2</v>
      </c>
      <c r="E12" s="63" t="n">
        <v>3.8</v>
      </c>
      <c r="F12" s="63" t="n">
        <v>1</v>
      </c>
      <c r="G12" s="63" t="n">
        <v>5</v>
      </c>
      <c r="H12" s="63" t="n">
        <v>2</v>
      </c>
      <c r="I12" s="63" t="n">
        <v>18</v>
      </c>
      <c r="J12" s="63" t="n">
        <v>20</v>
      </c>
      <c r="K12" s="63" t="s">
        <v>449</v>
      </c>
      <c r="L12" s="63" t="s">
        <v>450</v>
      </c>
      <c r="M12" s="63" t="s">
        <v>487</v>
      </c>
      <c r="N12" s="63" t="s">
        <v>492</v>
      </c>
      <c r="O12" s="63" t="s">
        <v>493</v>
      </c>
      <c r="P12" s="63" t="s">
        <v>517</v>
      </c>
    </row>
    <row r="13" customFormat="false" ht="96" hidden="false" customHeight="true" outlineLevel="0" collapsed="false">
      <c r="A13" s="19" t="s">
        <v>518</v>
      </c>
      <c r="B13" s="61" t="s">
        <v>486</v>
      </c>
      <c r="C13" s="61" t="n">
        <v>8</v>
      </c>
      <c r="D13" s="61" t="n">
        <v>2</v>
      </c>
      <c r="E13" s="61" t="n">
        <v>2</v>
      </c>
      <c r="F13" s="61" t="n">
        <v>1</v>
      </c>
      <c r="G13" s="61" t="n">
        <v>5</v>
      </c>
      <c r="H13" s="61" t="n">
        <v>2</v>
      </c>
      <c r="I13" s="61" t="n">
        <v>20</v>
      </c>
      <c r="J13" s="61" t="n">
        <v>20</v>
      </c>
      <c r="K13" s="61" t="s">
        <v>449</v>
      </c>
      <c r="L13" s="61" t="s">
        <v>450</v>
      </c>
      <c r="M13" s="61" t="s">
        <v>487</v>
      </c>
      <c r="N13" s="61" t="s">
        <v>519</v>
      </c>
      <c r="O13" s="61" t="s">
        <v>520</v>
      </c>
      <c r="P13" s="61" t="s">
        <v>521</v>
      </c>
    </row>
    <row r="14" customFormat="false" ht="96" hidden="false" customHeight="true" outlineLevel="0" collapsed="false">
      <c r="A14" s="62" t="s">
        <v>522</v>
      </c>
      <c r="B14" s="63" t="s">
        <v>523</v>
      </c>
      <c r="C14" s="63" t="n">
        <v>5</v>
      </c>
      <c r="D14" s="63" t="n">
        <v>14</v>
      </c>
      <c r="E14" s="63" t="n">
        <v>0.9</v>
      </c>
      <c r="F14" s="63" t="n">
        <v>4</v>
      </c>
      <c r="G14" s="63" t="n">
        <v>40</v>
      </c>
      <c r="H14" s="63" t="n">
        <v>16</v>
      </c>
      <c r="I14" s="63" t="n">
        <v>160</v>
      </c>
      <c r="J14" s="63" t="n">
        <v>340</v>
      </c>
      <c r="K14" s="63" t="s">
        <v>458</v>
      </c>
      <c r="L14" s="63" t="s">
        <v>451</v>
      </c>
      <c r="M14" s="63" t="s">
        <v>524</v>
      </c>
      <c r="N14" s="63" t="s">
        <v>525</v>
      </c>
      <c r="O14" s="63" t="s">
        <v>526</v>
      </c>
      <c r="P14" s="63" t="s">
        <v>527</v>
      </c>
    </row>
    <row r="15" customFormat="false" ht="96" hidden="false" customHeight="true" outlineLevel="0" collapsed="false">
      <c r="A15" s="19" t="s">
        <v>528</v>
      </c>
      <c r="B15" s="61" t="s">
        <v>529</v>
      </c>
      <c r="C15" s="61" t="n">
        <v>12</v>
      </c>
      <c r="D15" s="61" t="n">
        <v>6</v>
      </c>
      <c r="E15" s="61" t="n">
        <v>1.7</v>
      </c>
      <c r="F15" s="61" t="n">
        <v>2</v>
      </c>
      <c r="G15" s="61" t="n">
        <v>8</v>
      </c>
      <c r="H15" s="61" t="n">
        <v>3.2</v>
      </c>
      <c r="I15" s="61" t="n">
        <v>40</v>
      </c>
      <c r="J15" s="61" t="n">
        <v>60</v>
      </c>
      <c r="K15" s="61" t="s">
        <v>463</v>
      </c>
      <c r="L15" s="61" t="s">
        <v>451</v>
      </c>
      <c r="M15" s="61" t="s">
        <v>487</v>
      </c>
      <c r="N15" s="61" t="s">
        <v>530</v>
      </c>
      <c r="O15" s="61" t="s">
        <v>531</v>
      </c>
      <c r="P15" s="61" t="s">
        <v>532</v>
      </c>
    </row>
    <row r="16" customFormat="false" ht="96" hidden="false" customHeight="true" outlineLevel="0" collapsed="false">
      <c r="A16" s="62" t="s">
        <v>533</v>
      </c>
      <c r="B16" s="63" t="s">
        <v>523</v>
      </c>
      <c r="C16" s="63" t="n">
        <v>10</v>
      </c>
      <c r="D16" s="63" t="n">
        <v>40</v>
      </c>
      <c r="E16" s="63" t="n">
        <v>0.85</v>
      </c>
      <c r="F16" s="63" t="n">
        <v>5</v>
      </c>
      <c r="G16" s="63" t="n">
        <v>60</v>
      </c>
      <c r="H16" s="63" t="n">
        <v>24</v>
      </c>
      <c r="I16" s="63" t="n">
        <v>260</v>
      </c>
      <c r="J16" s="63" t="n">
        <v>800</v>
      </c>
      <c r="K16" s="63" t="s">
        <v>458</v>
      </c>
      <c r="L16" s="63" t="s">
        <v>451</v>
      </c>
      <c r="M16" s="63" t="s">
        <v>524</v>
      </c>
      <c r="N16" s="63" t="s">
        <v>530</v>
      </c>
      <c r="O16" s="63" t="s">
        <v>534</v>
      </c>
      <c r="P16" s="63" t="s">
        <v>535</v>
      </c>
    </row>
    <row r="17" customFormat="false" ht="96" hidden="false" customHeight="true" outlineLevel="0" collapsed="false">
      <c r="A17" s="19" t="s">
        <v>536</v>
      </c>
      <c r="B17" s="61" t="s">
        <v>537</v>
      </c>
      <c r="C17" s="61" t="n">
        <v>14</v>
      </c>
      <c r="D17" s="61" t="n">
        <v>6</v>
      </c>
      <c r="E17" s="61" t="n">
        <v>2</v>
      </c>
      <c r="F17" s="61" t="n">
        <v>2</v>
      </c>
      <c r="G17" s="61" t="n">
        <v>12</v>
      </c>
      <c r="H17" s="61" t="n">
        <v>4.8</v>
      </c>
      <c r="I17" s="61" t="n">
        <v>55</v>
      </c>
      <c r="J17" s="61" t="n">
        <v>60</v>
      </c>
      <c r="K17" s="61" t="s">
        <v>463</v>
      </c>
      <c r="L17" s="61" t="s">
        <v>450</v>
      </c>
      <c r="M17" s="61" t="s">
        <v>538</v>
      </c>
      <c r="N17" s="61" t="s">
        <v>539</v>
      </c>
      <c r="O17" s="61" t="s">
        <v>540</v>
      </c>
      <c r="P17" s="61" t="s">
        <v>541</v>
      </c>
    </row>
    <row r="18" customFormat="false" ht="96" hidden="false" customHeight="true" outlineLevel="0" collapsed="false">
      <c r="A18" s="62" t="s">
        <v>542</v>
      </c>
      <c r="B18" s="63" t="s">
        <v>543</v>
      </c>
      <c r="C18" s="63" t="n">
        <v>10</v>
      </c>
      <c r="D18" s="63" t="n">
        <v>3</v>
      </c>
      <c r="E18" s="63" t="n">
        <v>3.4</v>
      </c>
      <c r="F18" s="63" t="n">
        <v>1</v>
      </c>
      <c r="G18" s="63" t="n">
        <v>4</v>
      </c>
      <c r="H18" s="63" t="n">
        <v>1.6</v>
      </c>
      <c r="I18" s="63" t="n">
        <v>18</v>
      </c>
      <c r="J18" s="63" t="n">
        <v>30</v>
      </c>
      <c r="K18" s="63" t="s">
        <v>455</v>
      </c>
      <c r="L18" s="63" t="s">
        <v>450</v>
      </c>
      <c r="M18" s="63" t="s">
        <v>487</v>
      </c>
      <c r="N18" s="63" t="s">
        <v>530</v>
      </c>
      <c r="O18" s="63" t="s">
        <v>544</v>
      </c>
      <c r="P18" s="63" t="s">
        <v>545</v>
      </c>
    </row>
    <row r="19" customFormat="false" ht="96" hidden="false" customHeight="true" outlineLevel="0" collapsed="false">
      <c r="A19" s="19" t="s">
        <v>546</v>
      </c>
      <c r="B19" s="61" t="s">
        <v>547</v>
      </c>
      <c r="C19" s="61" t="n">
        <v>16</v>
      </c>
      <c r="D19" s="61" t="n">
        <v>10</v>
      </c>
      <c r="E19" s="61" t="n">
        <v>1.3</v>
      </c>
      <c r="F19" s="61" t="n">
        <v>2</v>
      </c>
      <c r="G19" s="61" t="n">
        <v>14</v>
      </c>
      <c r="H19" s="61" t="n">
        <v>5.6</v>
      </c>
      <c r="I19" s="61" t="n">
        <v>70</v>
      </c>
      <c r="J19" s="61" t="n">
        <v>100</v>
      </c>
      <c r="K19" s="61" t="s">
        <v>463</v>
      </c>
      <c r="L19" s="61" t="s">
        <v>451</v>
      </c>
      <c r="M19" s="61" t="s">
        <v>538</v>
      </c>
      <c r="N19" s="61" t="s">
        <v>539</v>
      </c>
      <c r="O19" s="61" t="s">
        <v>548</v>
      </c>
      <c r="P19" s="61" t="s">
        <v>549</v>
      </c>
    </row>
    <row r="20" customFormat="false" ht="96" hidden="false" customHeight="true" outlineLevel="0" collapsed="false">
      <c r="A20" s="62" t="s">
        <v>550</v>
      </c>
      <c r="B20" s="63" t="s">
        <v>551</v>
      </c>
      <c r="C20" s="63" t="n">
        <v>20</v>
      </c>
      <c r="D20" s="63" t="n">
        <v>5</v>
      </c>
      <c r="E20" s="63" t="n">
        <v>3</v>
      </c>
      <c r="F20" s="63" t="n">
        <v>1</v>
      </c>
      <c r="G20" s="63" t="n">
        <v>9</v>
      </c>
      <c r="H20" s="63" t="n">
        <v>3.6</v>
      </c>
      <c r="I20" s="63" t="n">
        <v>45</v>
      </c>
      <c r="J20" s="63" t="n">
        <v>50</v>
      </c>
      <c r="K20" s="63" t="s">
        <v>455</v>
      </c>
      <c r="L20" s="63" t="s">
        <v>450</v>
      </c>
      <c r="M20" s="63" t="s">
        <v>538</v>
      </c>
      <c r="N20" s="63" t="s">
        <v>530</v>
      </c>
      <c r="O20" s="63" t="s">
        <v>552</v>
      </c>
      <c r="P20" s="63" t="s">
        <v>553</v>
      </c>
    </row>
    <row r="21" customFormat="false" ht="96" hidden="false" customHeight="true" outlineLevel="0" collapsed="false">
      <c r="A21" s="19" t="s">
        <v>554</v>
      </c>
      <c r="B21" s="61" t="s">
        <v>543</v>
      </c>
      <c r="C21" s="61" t="n">
        <v>22</v>
      </c>
      <c r="D21" s="61" t="n">
        <v>8</v>
      </c>
      <c r="E21" s="61" t="n">
        <v>1.1</v>
      </c>
      <c r="F21" s="61" t="n">
        <v>2</v>
      </c>
      <c r="G21" s="61" t="n">
        <v>12</v>
      </c>
      <c r="H21" s="61" t="n">
        <v>4.8</v>
      </c>
      <c r="I21" s="61" t="n">
        <v>60</v>
      </c>
      <c r="J21" s="61" t="n">
        <v>80</v>
      </c>
      <c r="K21" s="61" t="s">
        <v>463</v>
      </c>
      <c r="L21" s="61" t="s">
        <v>451</v>
      </c>
      <c r="M21" s="61" t="s">
        <v>538</v>
      </c>
      <c r="N21" s="61" t="s">
        <v>539</v>
      </c>
      <c r="O21" s="61" t="s">
        <v>555</v>
      </c>
      <c r="P21" s="61" t="s">
        <v>556</v>
      </c>
    </row>
    <row r="22" customFormat="false" ht="96" hidden="false" customHeight="true" outlineLevel="0" collapsed="false">
      <c r="A22" s="62" t="s">
        <v>557</v>
      </c>
      <c r="B22" s="63" t="s">
        <v>558</v>
      </c>
      <c r="C22" s="63" t="n">
        <v>28</v>
      </c>
      <c r="D22" s="63" t="n">
        <v>7</v>
      </c>
      <c r="E22" s="63" t="n">
        <v>1.6</v>
      </c>
      <c r="F22" s="63" t="n">
        <v>1</v>
      </c>
      <c r="G22" s="63" t="n">
        <v>10</v>
      </c>
      <c r="H22" s="63" t="n">
        <v>4</v>
      </c>
      <c r="I22" s="63" t="n">
        <v>50</v>
      </c>
      <c r="J22" s="63" t="n">
        <v>70</v>
      </c>
      <c r="K22" s="63" t="s">
        <v>463</v>
      </c>
      <c r="L22" s="63" t="s">
        <v>450</v>
      </c>
      <c r="M22" s="63" t="s">
        <v>538</v>
      </c>
      <c r="N22" s="63" t="s">
        <v>530</v>
      </c>
      <c r="O22" s="63" t="s">
        <v>559</v>
      </c>
      <c r="P22" s="63" t="s">
        <v>560</v>
      </c>
    </row>
    <row r="24" customFormat="false" ht="15" hidden="false" customHeight="false" outlineLevel="0" collapsed="false">
      <c r="A24" s="64" t="s">
        <v>561</v>
      </c>
    </row>
    <row r="25" customFormat="false" ht="15" hidden="false" customHeight="false" outlineLevel="0" collapsed="false">
      <c r="A25" s="65" t="s">
        <v>434</v>
      </c>
      <c r="B25" s="66" t="n">
        <v>1</v>
      </c>
      <c r="C25" s="66" t="n">
        <v>5</v>
      </c>
      <c r="D25" s="66" t="n">
        <v>10</v>
      </c>
      <c r="E25" s="66" t="n">
        <v>15</v>
      </c>
      <c r="F25" s="66" t="n">
        <v>20</v>
      </c>
      <c r="G25" s="66" t="n">
        <v>25</v>
      </c>
      <c r="H25" s="66" t="n">
        <v>30</v>
      </c>
      <c r="I25" s="66" t="n">
        <v>40</v>
      </c>
      <c r="J25" s="66" t="n">
        <v>50</v>
      </c>
      <c r="K25" s="66" t="n">
        <v>60</v>
      </c>
      <c r="L25" s="66" t="n">
        <v>70</v>
      </c>
      <c r="M25" s="66" t="n">
        <v>80</v>
      </c>
      <c r="N25" s="66" t="n">
        <v>90</v>
      </c>
      <c r="O25" s="66" t="n">
        <v>100</v>
      </c>
    </row>
    <row r="26" customFormat="false" ht="15" hidden="false" customHeight="false" outlineLevel="0" collapsed="false">
      <c r="A26" s="67" t="str">
        <f aca="false">A5</f>
        <v>Drone</v>
      </c>
      <c r="B26" s="68" t="n">
        <f aca="false">IF(B$25&lt;$C5,"",$D5+IF($D5&gt;1,(IF(B$25&gt;=12,1,0)+IF(B$25&gt;=18,1,0)+IF(B$25&gt;18,INT((B$25-18)/5),0)),(IF(B$25&gt;=26,1,0)+IF(B$25&gt;=38,1,0)+IF(B$25&gt;38,INT((B$25-38)/12),0))))</f>
        <v>1</v>
      </c>
      <c r="C26" s="68" t="n">
        <f aca="false">IF(C$25&lt;$C5,"",$D5+IF($D5&gt;1,(IF(C$25&gt;=12,1,0)+IF(C$25&gt;=18,1,0)+IF(C$25&gt;18,INT((C$25-18)/5),0)),(IF(C$25&gt;=26,1,0)+IF(C$25&gt;=38,1,0)+IF(C$25&gt;38,INT((C$25-38)/12),0))))</f>
        <v>1</v>
      </c>
      <c r="D26" s="68" t="n">
        <f aca="false">IF(D$25&lt;$C5,"",$D5+IF($D5&gt;1,(IF(D$25&gt;=12,1,0)+IF(D$25&gt;=18,1,0)+IF(D$25&gt;18,INT((D$25-18)/5),0)),(IF(D$25&gt;=26,1,0)+IF(D$25&gt;=38,1,0)+IF(D$25&gt;38,INT((D$25-38)/12),0))))</f>
        <v>1</v>
      </c>
      <c r="E26" s="68" t="n">
        <f aca="false">IF(E$25&lt;$C5,"",$D5+IF($D5&gt;1,(IF(E$25&gt;=12,1,0)+IF(E$25&gt;=18,1,0)+IF(E$25&gt;18,INT((E$25-18)/5),0)),(IF(E$25&gt;=26,1,0)+IF(E$25&gt;=38,1,0)+IF(E$25&gt;38,INT((E$25-38)/12),0))))</f>
        <v>1</v>
      </c>
      <c r="F26" s="68" t="n">
        <f aca="false">IF(F$25&lt;$C5,"",$D5+IF($D5&gt;1,(IF(F$25&gt;=12,1,0)+IF(F$25&gt;=18,1,0)+IF(F$25&gt;18,INT((F$25-18)/5),0)),(IF(F$25&gt;=26,1,0)+IF(F$25&gt;=38,1,0)+IF(F$25&gt;38,INT((F$25-38)/12),0))))</f>
        <v>1</v>
      </c>
      <c r="G26" s="68" t="n">
        <f aca="false">IF(G$25&lt;$C5,"",$D5+IF($D5&gt;1,(IF(G$25&gt;=12,1,0)+IF(G$25&gt;=18,1,0)+IF(G$25&gt;18,INT((G$25-18)/5),0)),(IF(G$25&gt;=26,1,0)+IF(G$25&gt;=38,1,0)+IF(G$25&gt;38,INT((G$25-38)/12),0))))</f>
        <v>1</v>
      </c>
      <c r="H26" s="68" t="n">
        <f aca="false">IF(H$25&lt;$C5,"",$D5+IF($D5&gt;1,(IF(H$25&gt;=12,1,0)+IF(H$25&gt;=18,1,0)+IF(H$25&gt;18,INT((H$25-18)/5),0)),(IF(H$25&gt;=26,1,0)+IF(H$25&gt;=38,1,0)+IF(H$25&gt;38,INT((H$25-38)/12),0))))</f>
        <v>2</v>
      </c>
      <c r="I26" s="68" t="n">
        <f aca="false">IF(I$25&lt;$C5,"",$D5+IF($D5&gt;1,(IF(I$25&gt;=12,1,0)+IF(I$25&gt;=18,1,0)+IF(I$25&gt;18,INT((I$25-18)/5),0)),(IF(I$25&gt;=26,1,0)+IF(I$25&gt;=38,1,0)+IF(I$25&gt;38,INT((I$25-38)/12),0))))</f>
        <v>3</v>
      </c>
      <c r="J26" s="68" t="n">
        <f aca="false">IF(J$25&lt;$C5,"",$D5+IF($D5&gt;1,(IF(J$25&gt;=12,1,0)+IF(J$25&gt;=18,1,0)+IF(J$25&gt;18,INT((J$25-18)/5),0)),(IF(J$25&gt;=26,1,0)+IF(J$25&gt;=38,1,0)+IF(J$25&gt;38,INT((J$25-38)/12),0))))</f>
        <v>4</v>
      </c>
      <c r="K26" s="68" t="n">
        <f aca="false">IF(K$25&lt;$C5,"",$D5+IF($D5&gt;1,(IF(K$25&gt;=12,1,0)+IF(K$25&gt;=18,1,0)+IF(K$25&gt;18,INT((K$25-18)/5),0)),(IF(K$25&gt;=26,1,0)+IF(K$25&gt;=38,1,0)+IF(K$25&gt;38,INT((K$25-38)/12),0))))</f>
        <v>4</v>
      </c>
      <c r="L26" s="68" t="n">
        <f aca="false">IF(L$25&lt;$C5,"",$D5+IF($D5&gt;1,(IF(L$25&gt;=12,1,0)+IF(L$25&gt;=18,1,0)+IF(L$25&gt;18,INT((L$25-18)/5),0)),(IF(L$25&gt;=26,1,0)+IF(L$25&gt;=38,1,0)+IF(L$25&gt;38,INT((L$25-38)/12),0))))</f>
        <v>5</v>
      </c>
      <c r="M26" s="68" t="n">
        <f aca="false">IF(M$25&lt;$C5,"",$D5+IF($D5&gt;1,(IF(M$25&gt;=12,1,0)+IF(M$25&gt;=18,1,0)+IF(M$25&gt;18,INT((M$25-18)/5),0)),(IF(M$25&gt;=26,1,0)+IF(M$25&gt;=38,1,0)+IF(M$25&gt;38,INT((M$25-38)/12),0))))</f>
        <v>6</v>
      </c>
      <c r="N26" s="68" t="n">
        <f aca="false">IF(N$25&lt;$C5,"",$D5+IF($D5&gt;1,(IF(N$25&gt;=12,1,0)+IF(N$25&gt;=18,1,0)+IF(N$25&gt;18,INT((N$25-18)/5),0)),(IF(N$25&gt;=26,1,0)+IF(N$25&gt;=38,1,0)+IF(N$25&gt;38,INT((N$25-38)/12),0))))</f>
        <v>7</v>
      </c>
      <c r="O26" s="68" t="n">
        <f aca="false">IF(O$25&lt;$C5,"",$D5+IF($D5&gt;1,(IF(O$25&gt;=12,1,0)+IF(O$25&gt;=18,1,0)+IF(O$25&gt;18,INT((O$25-18)/5),0)),(IF(O$25&gt;=26,1,0)+IF(O$25&gt;=38,1,0)+IF(O$25&gt;38,INT((O$25-38)/12),0))))</f>
        <v>8</v>
      </c>
    </row>
    <row r="27" customFormat="false" ht="15" hidden="false" customHeight="false" outlineLevel="0" collapsed="false">
      <c r="A27" s="67" t="str">
        <f aca="false">A6</f>
        <v>Dart</v>
      </c>
      <c r="B27" s="69" t="str">
        <f aca="false">IF(B$25&lt;$C6,"",$D6+IF($D6&gt;1,(IF(B$25&gt;=12,1,0)+IF(B$25&gt;=18,1,0)+IF(B$25&gt;18,INT((B$25-18)/5),0)),(IF(B$25&gt;=26,1,0)+IF(B$25&gt;=38,1,0)+IF(B$25&gt;38,INT((B$25-38)/12),0))))</f>
        <v/>
      </c>
      <c r="C27" s="69" t="n">
        <f aca="false">IF(C$25&lt;$C6,"",$D6+IF($D6&gt;1,(IF(C$25&gt;=12,1,0)+IF(C$25&gt;=18,1,0)+IF(C$25&gt;18,INT((C$25-18)/5),0)),(IF(C$25&gt;=26,1,0)+IF(C$25&gt;=38,1,0)+IF(C$25&gt;38,INT((C$25-38)/12),0))))</f>
        <v>1</v>
      </c>
      <c r="D27" s="69" t="n">
        <f aca="false">IF(D$25&lt;$C6,"",$D6+IF($D6&gt;1,(IF(D$25&gt;=12,1,0)+IF(D$25&gt;=18,1,0)+IF(D$25&gt;18,INT((D$25-18)/5),0)),(IF(D$25&gt;=26,1,0)+IF(D$25&gt;=38,1,0)+IF(D$25&gt;38,INT((D$25-38)/12),0))))</f>
        <v>1</v>
      </c>
      <c r="E27" s="69" t="n">
        <f aca="false">IF(E$25&lt;$C6,"",$D6+IF($D6&gt;1,(IF(E$25&gt;=12,1,0)+IF(E$25&gt;=18,1,0)+IF(E$25&gt;18,INT((E$25-18)/5),0)),(IF(E$25&gt;=26,1,0)+IF(E$25&gt;=38,1,0)+IF(E$25&gt;38,INT((E$25-38)/12),0))))</f>
        <v>1</v>
      </c>
      <c r="F27" s="69" t="n">
        <f aca="false">IF(F$25&lt;$C6,"",$D6+IF($D6&gt;1,(IF(F$25&gt;=12,1,0)+IF(F$25&gt;=18,1,0)+IF(F$25&gt;18,INT((F$25-18)/5),0)),(IF(F$25&gt;=26,1,0)+IF(F$25&gt;=38,1,0)+IF(F$25&gt;38,INT((F$25-38)/12),0))))</f>
        <v>1</v>
      </c>
      <c r="G27" s="69" t="n">
        <f aca="false">IF(G$25&lt;$C6,"",$D6+IF($D6&gt;1,(IF(G$25&gt;=12,1,0)+IF(G$25&gt;=18,1,0)+IF(G$25&gt;18,INT((G$25-18)/5),0)),(IF(G$25&gt;=26,1,0)+IF(G$25&gt;=38,1,0)+IF(G$25&gt;38,INT((G$25-38)/12),0))))</f>
        <v>1</v>
      </c>
      <c r="H27" s="69" t="n">
        <f aca="false">IF(H$25&lt;$C6,"",$D6+IF($D6&gt;1,(IF(H$25&gt;=12,1,0)+IF(H$25&gt;=18,1,0)+IF(H$25&gt;18,INT((H$25-18)/5),0)),(IF(H$25&gt;=26,1,0)+IF(H$25&gt;=38,1,0)+IF(H$25&gt;38,INT((H$25-38)/12),0))))</f>
        <v>2</v>
      </c>
      <c r="I27" s="69" t="n">
        <f aca="false">IF(I$25&lt;$C6,"",$D6+IF($D6&gt;1,(IF(I$25&gt;=12,1,0)+IF(I$25&gt;=18,1,0)+IF(I$25&gt;18,INT((I$25-18)/5),0)),(IF(I$25&gt;=26,1,0)+IF(I$25&gt;=38,1,0)+IF(I$25&gt;38,INT((I$25-38)/12),0))))</f>
        <v>3</v>
      </c>
      <c r="J27" s="69" t="n">
        <f aca="false">IF(J$25&lt;$C6,"",$D6+IF($D6&gt;1,(IF(J$25&gt;=12,1,0)+IF(J$25&gt;=18,1,0)+IF(J$25&gt;18,INT((J$25-18)/5),0)),(IF(J$25&gt;=26,1,0)+IF(J$25&gt;=38,1,0)+IF(J$25&gt;38,INT((J$25-38)/12),0))))</f>
        <v>4</v>
      </c>
      <c r="K27" s="69" t="n">
        <f aca="false">IF(K$25&lt;$C6,"",$D6+IF($D6&gt;1,(IF(K$25&gt;=12,1,0)+IF(K$25&gt;=18,1,0)+IF(K$25&gt;18,INT((K$25-18)/5),0)),(IF(K$25&gt;=26,1,0)+IF(K$25&gt;=38,1,0)+IF(K$25&gt;38,INT((K$25-38)/12),0))))</f>
        <v>4</v>
      </c>
      <c r="L27" s="69" t="n">
        <f aca="false">IF(L$25&lt;$C6,"",$D6+IF($D6&gt;1,(IF(L$25&gt;=12,1,0)+IF(L$25&gt;=18,1,0)+IF(L$25&gt;18,INT((L$25-18)/5),0)),(IF(L$25&gt;=26,1,0)+IF(L$25&gt;=38,1,0)+IF(L$25&gt;38,INT((L$25-38)/12),0))))</f>
        <v>5</v>
      </c>
      <c r="M27" s="69" t="n">
        <f aca="false">IF(M$25&lt;$C6,"",$D6+IF($D6&gt;1,(IF(M$25&gt;=12,1,0)+IF(M$25&gt;=18,1,0)+IF(M$25&gt;18,INT((M$25-18)/5),0)),(IF(M$25&gt;=26,1,0)+IF(M$25&gt;=38,1,0)+IF(M$25&gt;38,INT((M$25-38)/12),0))))</f>
        <v>6</v>
      </c>
      <c r="N27" s="69" t="n">
        <f aca="false">IF(N$25&lt;$C6,"",$D6+IF($D6&gt;1,(IF(N$25&gt;=12,1,0)+IF(N$25&gt;=18,1,0)+IF(N$25&gt;18,INT((N$25-18)/5),0)),(IF(N$25&gt;=26,1,0)+IF(N$25&gt;=38,1,0)+IF(N$25&gt;38,INT((N$25-38)/12),0))))</f>
        <v>7</v>
      </c>
      <c r="O27" s="69" t="n">
        <f aca="false">IF(O$25&lt;$C6,"",$D6+IF($D6&gt;1,(IF(O$25&gt;=12,1,0)+IF(O$25&gt;=18,1,0)+IF(O$25&gt;18,INT((O$25-18)/5),0)),(IF(O$25&gt;=26,1,0)+IF(O$25&gt;=38,1,0)+IF(O$25&gt;38,INT((O$25-38)/12),0))))</f>
        <v>8</v>
      </c>
    </row>
    <row r="28" customFormat="false" ht="15" hidden="false" customHeight="false" outlineLevel="0" collapsed="false">
      <c r="A28" s="67" t="str">
        <f aca="false">A7</f>
        <v>Splitter</v>
      </c>
      <c r="B28" s="68" t="str">
        <f aca="false">IF(B$25&lt;$C7,"",$D7+IF($D7&gt;1,(IF(B$25&gt;=12,1,0)+IF(B$25&gt;=18,1,0)+IF(B$25&gt;18,INT((B$25-18)/5),0)),(IF(B$25&gt;=26,1,0)+IF(B$25&gt;=38,1,0)+IF(B$25&gt;38,INT((B$25-38)/12),0))))</f>
        <v/>
      </c>
      <c r="C28" s="68" t="n">
        <f aca="false">IF(C$25&lt;$C7,"",$D7+IF($D7&gt;1,(IF(C$25&gt;=12,1,0)+IF(C$25&gt;=18,1,0)+IF(C$25&gt;18,INT((C$25-18)/5),0)),(IF(C$25&gt;=26,1,0)+IF(C$25&gt;=38,1,0)+IF(C$25&gt;38,INT((C$25-38)/12),0))))</f>
        <v>2</v>
      </c>
      <c r="D28" s="68" t="n">
        <f aca="false">IF(D$25&lt;$C7,"",$D7+IF($D7&gt;1,(IF(D$25&gt;=12,1,0)+IF(D$25&gt;=18,1,0)+IF(D$25&gt;18,INT((D$25-18)/5),0)),(IF(D$25&gt;=26,1,0)+IF(D$25&gt;=38,1,0)+IF(D$25&gt;38,INT((D$25-38)/12),0))))</f>
        <v>2</v>
      </c>
      <c r="E28" s="68" t="n">
        <f aca="false">IF(E$25&lt;$C7,"",$D7+IF($D7&gt;1,(IF(E$25&gt;=12,1,0)+IF(E$25&gt;=18,1,0)+IF(E$25&gt;18,INT((E$25-18)/5),0)),(IF(E$25&gt;=26,1,0)+IF(E$25&gt;=38,1,0)+IF(E$25&gt;38,INT((E$25-38)/12),0))))</f>
        <v>3</v>
      </c>
      <c r="F28" s="68" t="n">
        <f aca="false">IF(F$25&lt;$C7,"",$D7+IF($D7&gt;1,(IF(F$25&gt;=12,1,0)+IF(F$25&gt;=18,1,0)+IF(F$25&gt;18,INT((F$25-18)/5),0)),(IF(F$25&gt;=26,1,0)+IF(F$25&gt;=38,1,0)+IF(F$25&gt;38,INT((F$25-38)/12),0))))</f>
        <v>4</v>
      </c>
      <c r="G28" s="68" t="n">
        <f aca="false">IF(G$25&lt;$C7,"",$D7+IF($D7&gt;1,(IF(G$25&gt;=12,1,0)+IF(G$25&gt;=18,1,0)+IF(G$25&gt;18,INT((G$25-18)/5),0)),(IF(G$25&gt;=26,1,0)+IF(G$25&gt;=38,1,0)+IF(G$25&gt;38,INT((G$25-38)/12),0))))</f>
        <v>5</v>
      </c>
      <c r="H28" s="68" t="n">
        <f aca="false">IF(H$25&lt;$C7,"",$D7+IF($D7&gt;1,(IF(H$25&gt;=12,1,0)+IF(H$25&gt;=18,1,0)+IF(H$25&gt;18,INT((H$25-18)/5),0)),(IF(H$25&gt;=26,1,0)+IF(H$25&gt;=38,1,0)+IF(H$25&gt;38,INT((H$25-38)/12),0))))</f>
        <v>6</v>
      </c>
      <c r="I28" s="68" t="n">
        <f aca="false">IF(I$25&lt;$C7,"",$D7+IF($D7&gt;1,(IF(I$25&gt;=12,1,0)+IF(I$25&gt;=18,1,0)+IF(I$25&gt;18,INT((I$25-18)/5),0)),(IF(I$25&gt;=26,1,0)+IF(I$25&gt;=38,1,0)+IF(I$25&gt;38,INT((I$25-38)/12),0))))</f>
        <v>8</v>
      </c>
      <c r="J28" s="68" t="n">
        <f aca="false">IF(J$25&lt;$C7,"",$D7+IF($D7&gt;1,(IF(J$25&gt;=12,1,0)+IF(J$25&gt;=18,1,0)+IF(J$25&gt;18,INT((J$25-18)/5),0)),(IF(J$25&gt;=26,1,0)+IF(J$25&gt;=38,1,0)+IF(J$25&gt;38,INT((J$25-38)/12),0))))</f>
        <v>10</v>
      </c>
      <c r="K28" s="68" t="n">
        <f aca="false">IF(K$25&lt;$C7,"",$D7+IF($D7&gt;1,(IF(K$25&gt;=12,1,0)+IF(K$25&gt;=18,1,0)+IF(K$25&gt;18,INT((K$25-18)/5),0)),(IF(K$25&gt;=26,1,0)+IF(K$25&gt;=38,1,0)+IF(K$25&gt;38,INT((K$25-38)/12),0))))</f>
        <v>12</v>
      </c>
      <c r="L28" s="68" t="n">
        <f aca="false">IF(L$25&lt;$C7,"",$D7+IF($D7&gt;1,(IF(L$25&gt;=12,1,0)+IF(L$25&gt;=18,1,0)+IF(L$25&gt;18,INT((L$25-18)/5),0)),(IF(L$25&gt;=26,1,0)+IF(L$25&gt;=38,1,0)+IF(L$25&gt;38,INT((L$25-38)/12),0))))</f>
        <v>14</v>
      </c>
      <c r="M28" s="68" t="n">
        <f aca="false">IF(M$25&lt;$C7,"",$D7+IF($D7&gt;1,(IF(M$25&gt;=12,1,0)+IF(M$25&gt;=18,1,0)+IF(M$25&gt;18,INT((M$25-18)/5),0)),(IF(M$25&gt;=26,1,0)+IF(M$25&gt;=38,1,0)+IF(M$25&gt;38,INT((M$25-38)/12),0))))</f>
        <v>16</v>
      </c>
      <c r="N28" s="68" t="n">
        <f aca="false">IF(N$25&lt;$C7,"",$D7+IF($D7&gt;1,(IF(N$25&gt;=12,1,0)+IF(N$25&gt;=18,1,0)+IF(N$25&gt;18,INT((N$25-18)/5),0)),(IF(N$25&gt;=26,1,0)+IF(N$25&gt;=38,1,0)+IF(N$25&gt;38,INT((N$25-38)/12),0))))</f>
        <v>18</v>
      </c>
      <c r="O28" s="68" t="n">
        <f aca="false">IF(O$25&lt;$C7,"",$D7+IF($D7&gt;1,(IF(O$25&gt;=12,1,0)+IF(O$25&gt;=18,1,0)+IF(O$25&gt;18,INT((O$25-18)/5),0)),(IF(O$25&gt;=26,1,0)+IF(O$25&gt;=38,1,0)+IF(O$25&gt;38,INT((O$25-38)/12),0))))</f>
        <v>20</v>
      </c>
    </row>
    <row r="29" customFormat="false" ht="15" hidden="false" customHeight="false" outlineLevel="0" collapsed="false">
      <c r="A29" s="67" t="str">
        <f aca="false">A8</f>
        <v>Bulwark</v>
      </c>
      <c r="B29" s="69" t="str">
        <f aca="false">IF(B$25&lt;$C8,"",$D8+IF($D8&gt;1,(IF(B$25&gt;=12,1,0)+IF(B$25&gt;=18,1,0)+IF(B$25&gt;18,INT((B$25-18)/5),0)),(IF(B$25&gt;=26,1,0)+IF(B$25&gt;=38,1,0)+IF(B$25&gt;38,INT((B$25-38)/12),0))))</f>
        <v/>
      </c>
      <c r="C29" s="69" t="n">
        <f aca="false">IF(C$25&lt;$C8,"",$D8+IF($D8&gt;1,(IF(C$25&gt;=12,1,0)+IF(C$25&gt;=18,1,0)+IF(C$25&gt;18,INT((C$25-18)/5),0)),(IF(C$25&gt;=26,1,0)+IF(C$25&gt;=38,1,0)+IF(C$25&gt;38,INT((C$25-38)/12),0))))</f>
        <v>4</v>
      </c>
      <c r="D29" s="69" t="n">
        <f aca="false">IF(D$25&lt;$C8,"",$D8+IF($D8&gt;1,(IF(D$25&gt;=12,1,0)+IF(D$25&gt;=18,1,0)+IF(D$25&gt;18,INT((D$25-18)/5),0)),(IF(D$25&gt;=26,1,0)+IF(D$25&gt;=38,1,0)+IF(D$25&gt;38,INT((D$25-38)/12),0))))</f>
        <v>4</v>
      </c>
      <c r="E29" s="69" t="n">
        <f aca="false">IF(E$25&lt;$C8,"",$D8+IF($D8&gt;1,(IF(E$25&gt;=12,1,0)+IF(E$25&gt;=18,1,0)+IF(E$25&gt;18,INT((E$25-18)/5),0)),(IF(E$25&gt;=26,1,0)+IF(E$25&gt;=38,1,0)+IF(E$25&gt;38,INT((E$25-38)/12),0))))</f>
        <v>5</v>
      </c>
      <c r="F29" s="69" t="n">
        <f aca="false">IF(F$25&lt;$C8,"",$D8+IF($D8&gt;1,(IF(F$25&gt;=12,1,0)+IF(F$25&gt;=18,1,0)+IF(F$25&gt;18,INT((F$25-18)/5),0)),(IF(F$25&gt;=26,1,0)+IF(F$25&gt;=38,1,0)+IF(F$25&gt;38,INT((F$25-38)/12),0))))</f>
        <v>6</v>
      </c>
      <c r="G29" s="69" t="n">
        <f aca="false">IF(G$25&lt;$C8,"",$D8+IF($D8&gt;1,(IF(G$25&gt;=12,1,0)+IF(G$25&gt;=18,1,0)+IF(G$25&gt;18,INT((G$25-18)/5),0)),(IF(G$25&gt;=26,1,0)+IF(G$25&gt;=38,1,0)+IF(G$25&gt;38,INT((G$25-38)/12),0))))</f>
        <v>7</v>
      </c>
      <c r="H29" s="69" t="n">
        <f aca="false">IF(H$25&lt;$C8,"",$D8+IF($D8&gt;1,(IF(H$25&gt;=12,1,0)+IF(H$25&gt;=18,1,0)+IF(H$25&gt;18,INT((H$25-18)/5),0)),(IF(H$25&gt;=26,1,0)+IF(H$25&gt;=38,1,0)+IF(H$25&gt;38,INT((H$25-38)/12),0))))</f>
        <v>8</v>
      </c>
      <c r="I29" s="69" t="n">
        <f aca="false">IF(I$25&lt;$C8,"",$D8+IF($D8&gt;1,(IF(I$25&gt;=12,1,0)+IF(I$25&gt;=18,1,0)+IF(I$25&gt;18,INT((I$25-18)/5),0)),(IF(I$25&gt;=26,1,0)+IF(I$25&gt;=38,1,0)+IF(I$25&gt;38,INT((I$25-38)/12),0))))</f>
        <v>10</v>
      </c>
      <c r="J29" s="69" t="n">
        <f aca="false">IF(J$25&lt;$C8,"",$D8+IF($D8&gt;1,(IF(J$25&gt;=12,1,0)+IF(J$25&gt;=18,1,0)+IF(J$25&gt;18,INT((J$25-18)/5),0)),(IF(J$25&gt;=26,1,0)+IF(J$25&gt;=38,1,0)+IF(J$25&gt;38,INT((J$25-38)/12),0))))</f>
        <v>12</v>
      </c>
      <c r="K29" s="69" t="n">
        <f aca="false">IF(K$25&lt;$C8,"",$D8+IF($D8&gt;1,(IF(K$25&gt;=12,1,0)+IF(K$25&gt;=18,1,0)+IF(K$25&gt;18,INT((K$25-18)/5),0)),(IF(K$25&gt;=26,1,0)+IF(K$25&gt;=38,1,0)+IF(K$25&gt;38,INT((K$25-38)/12),0))))</f>
        <v>14</v>
      </c>
      <c r="L29" s="69" t="n">
        <f aca="false">IF(L$25&lt;$C8,"",$D8+IF($D8&gt;1,(IF(L$25&gt;=12,1,0)+IF(L$25&gt;=18,1,0)+IF(L$25&gt;18,INT((L$25-18)/5),0)),(IF(L$25&gt;=26,1,0)+IF(L$25&gt;=38,1,0)+IF(L$25&gt;38,INT((L$25-38)/12),0))))</f>
        <v>16</v>
      </c>
      <c r="M29" s="69" t="n">
        <f aca="false">IF(M$25&lt;$C8,"",$D8+IF($D8&gt;1,(IF(M$25&gt;=12,1,0)+IF(M$25&gt;=18,1,0)+IF(M$25&gt;18,INT((M$25-18)/5),0)),(IF(M$25&gt;=26,1,0)+IF(M$25&gt;=38,1,0)+IF(M$25&gt;38,INT((M$25-38)/12),0))))</f>
        <v>18</v>
      </c>
      <c r="N29" s="69" t="n">
        <f aca="false">IF(N$25&lt;$C8,"",$D8+IF($D8&gt;1,(IF(N$25&gt;=12,1,0)+IF(N$25&gt;=18,1,0)+IF(N$25&gt;18,INT((N$25-18)/5),0)),(IF(N$25&gt;=26,1,0)+IF(N$25&gt;=38,1,0)+IF(N$25&gt;38,INT((N$25-38)/12),0))))</f>
        <v>20</v>
      </c>
      <c r="O29" s="69" t="n">
        <f aca="false">IF(O$25&lt;$C8,"",$D8+IF($D8&gt;1,(IF(O$25&gt;=12,1,0)+IF(O$25&gt;=18,1,0)+IF(O$25&gt;18,INT((O$25-18)/5),0)),(IF(O$25&gt;=26,1,0)+IF(O$25&gt;=38,1,0)+IF(O$25&gt;38,INT((O$25-38)/12),0))))</f>
        <v>22</v>
      </c>
    </row>
    <row r="30" customFormat="false" ht="15" hidden="false" customHeight="false" outlineLevel="0" collapsed="false">
      <c r="A30" s="67" t="str">
        <f aca="false">A9</f>
        <v>Warden</v>
      </c>
      <c r="B30" s="68" t="str">
        <f aca="false">IF(B$25&lt;$C9,"",$D9+IF($D9&gt;1,(IF(B$25&gt;=12,1,0)+IF(B$25&gt;=18,1,0)+IF(B$25&gt;18,INT((B$25-18)/5),0)),(IF(B$25&gt;=26,1,0)+IF(B$25&gt;=38,1,0)+IF(B$25&gt;38,INT((B$25-38)/12),0))))</f>
        <v/>
      </c>
      <c r="C30" s="68" t="n">
        <f aca="false">IF(C$25&lt;$C9,"",$D9+IF($D9&gt;1,(IF(C$25&gt;=12,1,0)+IF(C$25&gt;=18,1,0)+IF(C$25&gt;18,INT((C$25-18)/5),0)),(IF(C$25&gt;=26,1,0)+IF(C$25&gt;=38,1,0)+IF(C$25&gt;38,INT((C$25-38)/12),0))))</f>
        <v>3</v>
      </c>
      <c r="D30" s="68" t="n">
        <f aca="false">IF(D$25&lt;$C9,"",$D9+IF($D9&gt;1,(IF(D$25&gt;=12,1,0)+IF(D$25&gt;=18,1,0)+IF(D$25&gt;18,INT((D$25-18)/5),0)),(IF(D$25&gt;=26,1,0)+IF(D$25&gt;=38,1,0)+IF(D$25&gt;38,INT((D$25-38)/12),0))))</f>
        <v>3</v>
      </c>
      <c r="E30" s="68" t="n">
        <f aca="false">IF(E$25&lt;$C9,"",$D9+IF($D9&gt;1,(IF(E$25&gt;=12,1,0)+IF(E$25&gt;=18,1,0)+IF(E$25&gt;18,INT((E$25-18)/5),0)),(IF(E$25&gt;=26,1,0)+IF(E$25&gt;=38,1,0)+IF(E$25&gt;38,INT((E$25-38)/12),0))))</f>
        <v>4</v>
      </c>
      <c r="F30" s="68" t="n">
        <f aca="false">IF(F$25&lt;$C9,"",$D9+IF($D9&gt;1,(IF(F$25&gt;=12,1,0)+IF(F$25&gt;=18,1,0)+IF(F$25&gt;18,INT((F$25-18)/5),0)),(IF(F$25&gt;=26,1,0)+IF(F$25&gt;=38,1,0)+IF(F$25&gt;38,INT((F$25-38)/12),0))))</f>
        <v>5</v>
      </c>
      <c r="G30" s="68" t="n">
        <f aca="false">IF(G$25&lt;$C9,"",$D9+IF($D9&gt;1,(IF(G$25&gt;=12,1,0)+IF(G$25&gt;=18,1,0)+IF(G$25&gt;18,INT((G$25-18)/5),0)),(IF(G$25&gt;=26,1,0)+IF(G$25&gt;=38,1,0)+IF(G$25&gt;38,INT((G$25-38)/12),0))))</f>
        <v>6</v>
      </c>
      <c r="H30" s="68" t="n">
        <f aca="false">IF(H$25&lt;$C9,"",$D9+IF($D9&gt;1,(IF(H$25&gt;=12,1,0)+IF(H$25&gt;=18,1,0)+IF(H$25&gt;18,INT((H$25-18)/5),0)),(IF(H$25&gt;=26,1,0)+IF(H$25&gt;=38,1,0)+IF(H$25&gt;38,INT((H$25-38)/12),0))))</f>
        <v>7</v>
      </c>
      <c r="I30" s="68" t="n">
        <f aca="false">IF(I$25&lt;$C9,"",$D9+IF($D9&gt;1,(IF(I$25&gt;=12,1,0)+IF(I$25&gt;=18,1,0)+IF(I$25&gt;18,INT((I$25-18)/5),0)),(IF(I$25&gt;=26,1,0)+IF(I$25&gt;=38,1,0)+IF(I$25&gt;38,INT((I$25-38)/12),0))))</f>
        <v>9</v>
      </c>
      <c r="J30" s="68" t="n">
        <f aca="false">IF(J$25&lt;$C9,"",$D9+IF($D9&gt;1,(IF(J$25&gt;=12,1,0)+IF(J$25&gt;=18,1,0)+IF(J$25&gt;18,INT((J$25-18)/5),0)),(IF(J$25&gt;=26,1,0)+IF(J$25&gt;=38,1,0)+IF(J$25&gt;38,INT((J$25-38)/12),0))))</f>
        <v>11</v>
      </c>
      <c r="K30" s="68" t="n">
        <f aca="false">IF(K$25&lt;$C9,"",$D9+IF($D9&gt;1,(IF(K$25&gt;=12,1,0)+IF(K$25&gt;=18,1,0)+IF(K$25&gt;18,INT((K$25-18)/5),0)),(IF(K$25&gt;=26,1,0)+IF(K$25&gt;=38,1,0)+IF(K$25&gt;38,INT((K$25-38)/12),0))))</f>
        <v>13</v>
      </c>
      <c r="L30" s="68" t="n">
        <f aca="false">IF(L$25&lt;$C9,"",$D9+IF($D9&gt;1,(IF(L$25&gt;=12,1,0)+IF(L$25&gt;=18,1,0)+IF(L$25&gt;18,INT((L$25-18)/5),0)),(IF(L$25&gt;=26,1,0)+IF(L$25&gt;=38,1,0)+IF(L$25&gt;38,INT((L$25-38)/12),0))))</f>
        <v>15</v>
      </c>
      <c r="M30" s="68" t="n">
        <f aca="false">IF(M$25&lt;$C9,"",$D9+IF($D9&gt;1,(IF(M$25&gt;=12,1,0)+IF(M$25&gt;=18,1,0)+IF(M$25&gt;18,INT((M$25-18)/5),0)),(IF(M$25&gt;=26,1,0)+IF(M$25&gt;=38,1,0)+IF(M$25&gt;38,INT((M$25-38)/12),0))))</f>
        <v>17</v>
      </c>
      <c r="N30" s="68" t="n">
        <f aca="false">IF(N$25&lt;$C9,"",$D9+IF($D9&gt;1,(IF(N$25&gt;=12,1,0)+IF(N$25&gt;=18,1,0)+IF(N$25&gt;18,INT((N$25-18)/5),0)),(IF(N$25&gt;=26,1,0)+IF(N$25&gt;=38,1,0)+IF(N$25&gt;38,INT((N$25-38)/12),0))))</f>
        <v>19</v>
      </c>
      <c r="O30" s="68" t="n">
        <f aca="false">IF(O$25&lt;$C9,"",$D9+IF($D9&gt;1,(IF(O$25&gt;=12,1,0)+IF(O$25&gt;=18,1,0)+IF(O$25&gt;18,INT((O$25-18)/5),0)),(IF(O$25&gt;=26,1,0)+IF(O$25&gt;=38,1,0)+IF(O$25&gt;38,INT((O$25-38)/12),0))))</f>
        <v>21</v>
      </c>
    </row>
    <row r="31" customFormat="false" ht="15" hidden="false" customHeight="false" outlineLevel="0" collapsed="false">
      <c r="A31" s="67" t="str">
        <f aca="false">A10</f>
        <v>Carrier</v>
      </c>
      <c r="B31" s="69" t="str">
        <f aca="false">IF(B$25&lt;$C10,"",$D10+IF($D10&gt;1,(IF(B$25&gt;=12,1,0)+IF(B$25&gt;=18,1,0)+IF(B$25&gt;18,INT((B$25-18)/5),0)),(IF(B$25&gt;=26,1,0)+IF(B$25&gt;=38,1,0)+IF(B$25&gt;38,INT((B$25-38)/12),0))))</f>
        <v/>
      </c>
      <c r="C31" s="69" t="str">
        <f aca="false">IF(C$25&lt;$C10,"",$D10+IF($D10&gt;1,(IF(C$25&gt;=12,1,0)+IF(C$25&gt;=18,1,0)+IF(C$25&gt;18,INT((C$25-18)/5),0)),(IF(C$25&gt;=26,1,0)+IF(C$25&gt;=38,1,0)+IF(C$25&gt;38,INT((C$25-38)/12),0))))</f>
        <v/>
      </c>
      <c r="D31" s="69" t="n">
        <f aca="false">IF(D$25&lt;$C10,"",$D10+IF($D10&gt;1,(IF(D$25&gt;=12,1,0)+IF(D$25&gt;=18,1,0)+IF(D$25&gt;18,INT((D$25-18)/5),0)),(IF(D$25&gt;=26,1,0)+IF(D$25&gt;=38,1,0)+IF(D$25&gt;38,INT((D$25-38)/12),0))))</f>
        <v>5</v>
      </c>
      <c r="E31" s="69" t="n">
        <f aca="false">IF(E$25&lt;$C10,"",$D10+IF($D10&gt;1,(IF(E$25&gt;=12,1,0)+IF(E$25&gt;=18,1,0)+IF(E$25&gt;18,INT((E$25-18)/5),0)),(IF(E$25&gt;=26,1,0)+IF(E$25&gt;=38,1,0)+IF(E$25&gt;38,INT((E$25-38)/12),0))))</f>
        <v>6</v>
      </c>
      <c r="F31" s="69" t="n">
        <f aca="false">IF(F$25&lt;$C10,"",$D10+IF($D10&gt;1,(IF(F$25&gt;=12,1,0)+IF(F$25&gt;=18,1,0)+IF(F$25&gt;18,INT((F$25-18)/5),0)),(IF(F$25&gt;=26,1,0)+IF(F$25&gt;=38,1,0)+IF(F$25&gt;38,INT((F$25-38)/12),0))))</f>
        <v>7</v>
      </c>
      <c r="G31" s="69" t="n">
        <f aca="false">IF(G$25&lt;$C10,"",$D10+IF($D10&gt;1,(IF(G$25&gt;=12,1,0)+IF(G$25&gt;=18,1,0)+IF(G$25&gt;18,INT((G$25-18)/5),0)),(IF(G$25&gt;=26,1,0)+IF(G$25&gt;=38,1,0)+IF(G$25&gt;38,INT((G$25-38)/12),0))))</f>
        <v>8</v>
      </c>
      <c r="H31" s="69" t="n">
        <f aca="false">IF(H$25&lt;$C10,"",$D10+IF($D10&gt;1,(IF(H$25&gt;=12,1,0)+IF(H$25&gt;=18,1,0)+IF(H$25&gt;18,INT((H$25-18)/5),0)),(IF(H$25&gt;=26,1,0)+IF(H$25&gt;=38,1,0)+IF(H$25&gt;38,INT((H$25-38)/12),0))))</f>
        <v>9</v>
      </c>
      <c r="I31" s="69" t="n">
        <f aca="false">IF(I$25&lt;$C10,"",$D10+IF($D10&gt;1,(IF(I$25&gt;=12,1,0)+IF(I$25&gt;=18,1,0)+IF(I$25&gt;18,INT((I$25-18)/5),0)),(IF(I$25&gt;=26,1,0)+IF(I$25&gt;=38,1,0)+IF(I$25&gt;38,INT((I$25-38)/12),0))))</f>
        <v>11</v>
      </c>
      <c r="J31" s="69" t="n">
        <f aca="false">IF(J$25&lt;$C10,"",$D10+IF($D10&gt;1,(IF(J$25&gt;=12,1,0)+IF(J$25&gt;=18,1,0)+IF(J$25&gt;18,INT((J$25-18)/5),0)),(IF(J$25&gt;=26,1,0)+IF(J$25&gt;=38,1,0)+IF(J$25&gt;38,INT((J$25-38)/12),0))))</f>
        <v>13</v>
      </c>
      <c r="K31" s="69" t="n">
        <f aca="false">IF(K$25&lt;$C10,"",$D10+IF($D10&gt;1,(IF(K$25&gt;=12,1,0)+IF(K$25&gt;=18,1,0)+IF(K$25&gt;18,INT((K$25-18)/5),0)),(IF(K$25&gt;=26,1,0)+IF(K$25&gt;=38,1,0)+IF(K$25&gt;38,INT((K$25-38)/12),0))))</f>
        <v>15</v>
      </c>
      <c r="L31" s="69" t="n">
        <f aca="false">IF(L$25&lt;$C10,"",$D10+IF($D10&gt;1,(IF(L$25&gt;=12,1,0)+IF(L$25&gt;=18,1,0)+IF(L$25&gt;18,INT((L$25-18)/5),0)),(IF(L$25&gt;=26,1,0)+IF(L$25&gt;=38,1,0)+IF(L$25&gt;38,INT((L$25-38)/12),0))))</f>
        <v>17</v>
      </c>
      <c r="M31" s="69" t="n">
        <f aca="false">IF(M$25&lt;$C10,"",$D10+IF($D10&gt;1,(IF(M$25&gt;=12,1,0)+IF(M$25&gt;=18,1,0)+IF(M$25&gt;18,INT((M$25-18)/5),0)),(IF(M$25&gt;=26,1,0)+IF(M$25&gt;=38,1,0)+IF(M$25&gt;38,INT((M$25-38)/12),0))))</f>
        <v>19</v>
      </c>
      <c r="N31" s="69" t="n">
        <f aca="false">IF(N$25&lt;$C10,"",$D10+IF($D10&gt;1,(IF(N$25&gt;=12,1,0)+IF(N$25&gt;=18,1,0)+IF(N$25&gt;18,INT((N$25-18)/5),0)),(IF(N$25&gt;=26,1,0)+IF(N$25&gt;=38,1,0)+IF(N$25&gt;38,INT((N$25-38)/12),0))))</f>
        <v>21</v>
      </c>
      <c r="O31" s="69" t="n">
        <f aca="false">IF(O$25&lt;$C10,"",$D10+IF($D10&gt;1,(IF(O$25&gt;=12,1,0)+IF(O$25&gt;=18,1,0)+IF(O$25&gt;18,INT((O$25-18)/5),0)),(IF(O$25&gt;=26,1,0)+IF(O$25&gt;=38,1,0)+IF(O$25&gt;38,INT((O$25-38)/12),0))))</f>
        <v>23</v>
      </c>
    </row>
    <row r="32" customFormat="false" ht="15" hidden="false" customHeight="false" outlineLevel="0" collapsed="false">
      <c r="A32" s="67" t="str">
        <f aca="false">A11</f>
        <v>Mauler</v>
      </c>
      <c r="B32" s="68" t="str">
        <f aca="false">IF(B$25&lt;$C11,"",$D11+IF($D11&gt;1,(IF(B$25&gt;=12,1,0)+IF(B$25&gt;=18,1,0)+IF(B$25&gt;18,INT((B$25-18)/5),0)),(IF(B$25&gt;=26,1,0)+IF(B$25&gt;=38,1,0)+IF(B$25&gt;38,INT((B$25-38)/12),0))))</f>
        <v/>
      </c>
      <c r="C32" s="68" t="str">
        <f aca="false">IF(C$25&lt;$C11,"",$D11+IF($D11&gt;1,(IF(C$25&gt;=12,1,0)+IF(C$25&gt;=18,1,0)+IF(C$25&gt;18,INT((C$25-18)/5),0)),(IF(C$25&gt;=26,1,0)+IF(C$25&gt;=38,1,0)+IF(C$25&gt;38,INT((C$25-38)/12),0))))</f>
        <v/>
      </c>
      <c r="D32" s="68" t="n">
        <f aca="false">IF(D$25&lt;$C11,"",$D11+IF($D11&gt;1,(IF(D$25&gt;=12,1,0)+IF(D$25&gt;=18,1,0)+IF(D$25&gt;18,INT((D$25-18)/5),0)),(IF(D$25&gt;=26,1,0)+IF(D$25&gt;=38,1,0)+IF(D$25&gt;38,INT((D$25-38)/12),0))))</f>
        <v>3</v>
      </c>
      <c r="E32" s="68" t="n">
        <f aca="false">IF(E$25&lt;$C11,"",$D11+IF($D11&gt;1,(IF(E$25&gt;=12,1,0)+IF(E$25&gt;=18,1,0)+IF(E$25&gt;18,INT((E$25-18)/5),0)),(IF(E$25&gt;=26,1,0)+IF(E$25&gt;=38,1,0)+IF(E$25&gt;38,INT((E$25-38)/12),0))))</f>
        <v>4</v>
      </c>
      <c r="F32" s="68" t="n">
        <f aca="false">IF(F$25&lt;$C11,"",$D11+IF($D11&gt;1,(IF(F$25&gt;=12,1,0)+IF(F$25&gt;=18,1,0)+IF(F$25&gt;18,INT((F$25-18)/5),0)),(IF(F$25&gt;=26,1,0)+IF(F$25&gt;=38,1,0)+IF(F$25&gt;38,INT((F$25-38)/12),0))))</f>
        <v>5</v>
      </c>
      <c r="G32" s="68" t="n">
        <f aca="false">IF(G$25&lt;$C11,"",$D11+IF($D11&gt;1,(IF(G$25&gt;=12,1,0)+IF(G$25&gt;=18,1,0)+IF(G$25&gt;18,INT((G$25-18)/5),0)),(IF(G$25&gt;=26,1,0)+IF(G$25&gt;=38,1,0)+IF(G$25&gt;38,INT((G$25-38)/12),0))))</f>
        <v>6</v>
      </c>
      <c r="H32" s="68" t="n">
        <f aca="false">IF(H$25&lt;$C11,"",$D11+IF($D11&gt;1,(IF(H$25&gt;=12,1,0)+IF(H$25&gt;=18,1,0)+IF(H$25&gt;18,INT((H$25-18)/5),0)),(IF(H$25&gt;=26,1,0)+IF(H$25&gt;=38,1,0)+IF(H$25&gt;38,INT((H$25-38)/12),0))))</f>
        <v>7</v>
      </c>
      <c r="I32" s="68" t="n">
        <f aca="false">IF(I$25&lt;$C11,"",$D11+IF($D11&gt;1,(IF(I$25&gt;=12,1,0)+IF(I$25&gt;=18,1,0)+IF(I$25&gt;18,INT((I$25-18)/5),0)),(IF(I$25&gt;=26,1,0)+IF(I$25&gt;=38,1,0)+IF(I$25&gt;38,INT((I$25-38)/12),0))))</f>
        <v>9</v>
      </c>
      <c r="J32" s="68" t="n">
        <f aca="false">IF(J$25&lt;$C11,"",$D11+IF($D11&gt;1,(IF(J$25&gt;=12,1,0)+IF(J$25&gt;=18,1,0)+IF(J$25&gt;18,INT((J$25-18)/5),0)),(IF(J$25&gt;=26,1,0)+IF(J$25&gt;=38,1,0)+IF(J$25&gt;38,INT((J$25-38)/12),0))))</f>
        <v>11</v>
      </c>
      <c r="K32" s="68" t="n">
        <f aca="false">IF(K$25&lt;$C11,"",$D11+IF($D11&gt;1,(IF(K$25&gt;=12,1,0)+IF(K$25&gt;=18,1,0)+IF(K$25&gt;18,INT((K$25-18)/5),0)),(IF(K$25&gt;=26,1,0)+IF(K$25&gt;=38,1,0)+IF(K$25&gt;38,INT((K$25-38)/12),0))))</f>
        <v>13</v>
      </c>
      <c r="L32" s="68" t="n">
        <f aca="false">IF(L$25&lt;$C11,"",$D11+IF($D11&gt;1,(IF(L$25&gt;=12,1,0)+IF(L$25&gt;=18,1,0)+IF(L$25&gt;18,INT((L$25-18)/5),0)),(IF(L$25&gt;=26,1,0)+IF(L$25&gt;=38,1,0)+IF(L$25&gt;38,INT((L$25-38)/12),0))))</f>
        <v>15</v>
      </c>
      <c r="M32" s="68" t="n">
        <f aca="false">IF(M$25&lt;$C11,"",$D11+IF($D11&gt;1,(IF(M$25&gt;=12,1,0)+IF(M$25&gt;=18,1,0)+IF(M$25&gt;18,INT((M$25-18)/5),0)),(IF(M$25&gt;=26,1,0)+IF(M$25&gt;=38,1,0)+IF(M$25&gt;38,INT((M$25-38)/12),0))))</f>
        <v>17</v>
      </c>
      <c r="N32" s="68" t="n">
        <f aca="false">IF(N$25&lt;$C11,"",$D11+IF($D11&gt;1,(IF(N$25&gt;=12,1,0)+IF(N$25&gt;=18,1,0)+IF(N$25&gt;18,INT((N$25-18)/5),0)),(IF(N$25&gt;=26,1,0)+IF(N$25&gt;=38,1,0)+IF(N$25&gt;38,INT((N$25-38)/12),0))))</f>
        <v>19</v>
      </c>
      <c r="O32" s="68" t="n">
        <f aca="false">IF(O$25&lt;$C11,"",$D11+IF($D11&gt;1,(IF(O$25&gt;=12,1,0)+IF(O$25&gt;=18,1,0)+IF(O$25&gt;18,INT((O$25-18)/5),0)),(IF(O$25&gt;=26,1,0)+IF(O$25&gt;=38,1,0)+IF(O$25&gt;38,INT((O$25-38)/12),0))))</f>
        <v>21</v>
      </c>
    </row>
    <row r="33" customFormat="false" ht="15" hidden="false" customHeight="false" outlineLevel="0" collapsed="false">
      <c r="A33" s="67" t="str">
        <f aca="false">A12</f>
        <v>Shrike</v>
      </c>
      <c r="B33" s="69" t="str">
        <f aca="false">IF(B$25&lt;$C12,"",$D12+IF($D12&gt;1,(IF(B$25&gt;=12,1,0)+IF(B$25&gt;=18,1,0)+IF(B$25&gt;18,INT((B$25-18)/5),0)),(IF(B$25&gt;=26,1,0)+IF(B$25&gt;=38,1,0)+IF(B$25&gt;38,INT((B$25-38)/12),0))))</f>
        <v/>
      </c>
      <c r="C33" s="69" t="str">
        <f aca="false">IF(C$25&lt;$C12,"",$D12+IF($D12&gt;1,(IF(C$25&gt;=12,1,0)+IF(C$25&gt;=18,1,0)+IF(C$25&gt;18,INT((C$25-18)/5),0)),(IF(C$25&gt;=26,1,0)+IF(C$25&gt;=38,1,0)+IF(C$25&gt;38,INT((C$25-38)/12),0))))</f>
        <v/>
      </c>
      <c r="D33" s="69" t="n">
        <f aca="false">IF(D$25&lt;$C12,"",$D12+IF($D12&gt;1,(IF(D$25&gt;=12,1,0)+IF(D$25&gt;=18,1,0)+IF(D$25&gt;18,INT((D$25-18)/5),0)),(IF(D$25&gt;=26,1,0)+IF(D$25&gt;=38,1,0)+IF(D$25&gt;38,INT((D$25-38)/12),0))))</f>
        <v>2</v>
      </c>
      <c r="E33" s="69" t="n">
        <f aca="false">IF(E$25&lt;$C12,"",$D12+IF($D12&gt;1,(IF(E$25&gt;=12,1,0)+IF(E$25&gt;=18,1,0)+IF(E$25&gt;18,INT((E$25-18)/5),0)),(IF(E$25&gt;=26,1,0)+IF(E$25&gt;=38,1,0)+IF(E$25&gt;38,INT((E$25-38)/12),0))))</f>
        <v>3</v>
      </c>
      <c r="F33" s="69" t="n">
        <f aca="false">IF(F$25&lt;$C12,"",$D12+IF($D12&gt;1,(IF(F$25&gt;=12,1,0)+IF(F$25&gt;=18,1,0)+IF(F$25&gt;18,INT((F$25-18)/5),0)),(IF(F$25&gt;=26,1,0)+IF(F$25&gt;=38,1,0)+IF(F$25&gt;38,INT((F$25-38)/12),0))))</f>
        <v>4</v>
      </c>
      <c r="G33" s="69" t="n">
        <f aca="false">IF(G$25&lt;$C12,"",$D12+IF($D12&gt;1,(IF(G$25&gt;=12,1,0)+IF(G$25&gt;=18,1,0)+IF(G$25&gt;18,INT((G$25-18)/5),0)),(IF(G$25&gt;=26,1,0)+IF(G$25&gt;=38,1,0)+IF(G$25&gt;38,INT((G$25-38)/12),0))))</f>
        <v>5</v>
      </c>
      <c r="H33" s="69" t="n">
        <f aca="false">IF(H$25&lt;$C12,"",$D12+IF($D12&gt;1,(IF(H$25&gt;=12,1,0)+IF(H$25&gt;=18,1,0)+IF(H$25&gt;18,INT((H$25-18)/5),0)),(IF(H$25&gt;=26,1,0)+IF(H$25&gt;=38,1,0)+IF(H$25&gt;38,INT((H$25-38)/12),0))))</f>
        <v>6</v>
      </c>
      <c r="I33" s="69" t="n">
        <f aca="false">IF(I$25&lt;$C12,"",$D12+IF($D12&gt;1,(IF(I$25&gt;=12,1,0)+IF(I$25&gt;=18,1,0)+IF(I$25&gt;18,INT((I$25-18)/5),0)),(IF(I$25&gt;=26,1,0)+IF(I$25&gt;=38,1,0)+IF(I$25&gt;38,INT((I$25-38)/12),0))))</f>
        <v>8</v>
      </c>
      <c r="J33" s="69" t="n">
        <f aca="false">IF(J$25&lt;$C12,"",$D12+IF($D12&gt;1,(IF(J$25&gt;=12,1,0)+IF(J$25&gt;=18,1,0)+IF(J$25&gt;18,INT((J$25-18)/5),0)),(IF(J$25&gt;=26,1,0)+IF(J$25&gt;=38,1,0)+IF(J$25&gt;38,INT((J$25-38)/12),0))))</f>
        <v>10</v>
      </c>
      <c r="K33" s="69" t="n">
        <f aca="false">IF(K$25&lt;$C12,"",$D12+IF($D12&gt;1,(IF(K$25&gt;=12,1,0)+IF(K$25&gt;=18,1,0)+IF(K$25&gt;18,INT((K$25-18)/5),0)),(IF(K$25&gt;=26,1,0)+IF(K$25&gt;=38,1,0)+IF(K$25&gt;38,INT((K$25-38)/12),0))))</f>
        <v>12</v>
      </c>
      <c r="L33" s="69" t="n">
        <f aca="false">IF(L$25&lt;$C12,"",$D12+IF($D12&gt;1,(IF(L$25&gt;=12,1,0)+IF(L$25&gt;=18,1,0)+IF(L$25&gt;18,INT((L$25-18)/5),0)),(IF(L$25&gt;=26,1,0)+IF(L$25&gt;=38,1,0)+IF(L$25&gt;38,INT((L$25-38)/12),0))))</f>
        <v>14</v>
      </c>
      <c r="M33" s="69" t="n">
        <f aca="false">IF(M$25&lt;$C12,"",$D12+IF($D12&gt;1,(IF(M$25&gt;=12,1,0)+IF(M$25&gt;=18,1,0)+IF(M$25&gt;18,INT((M$25-18)/5),0)),(IF(M$25&gt;=26,1,0)+IF(M$25&gt;=38,1,0)+IF(M$25&gt;38,INT((M$25-38)/12),0))))</f>
        <v>16</v>
      </c>
      <c r="N33" s="69" t="n">
        <f aca="false">IF(N$25&lt;$C12,"",$D12+IF($D12&gt;1,(IF(N$25&gt;=12,1,0)+IF(N$25&gt;=18,1,0)+IF(N$25&gt;18,INT((N$25-18)/5),0)),(IF(N$25&gt;=26,1,0)+IF(N$25&gt;=38,1,0)+IF(N$25&gt;38,INT((N$25-38)/12),0))))</f>
        <v>18</v>
      </c>
      <c r="O33" s="69" t="n">
        <f aca="false">IF(O$25&lt;$C12,"",$D12+IF($D12&gt;1,(IF(O$25&gt;=12,1,0)+IF(O$25&gt;=18,1,0)+IF(O$25&gt;18,INT((O$25-18)/5),0)),(IF(O$25&gt;=26,1,0)+IF(O$25&gt;=38,1,0)+IF(O$25&gt;38,INT((O$25-38)/12),0))))</f>
        <v>20</v>
      </c>
    </row>
    <row r="34" customFormat="false" ht="15" hidden="false" customHeight="false" outlineLevel="0" collapsed="false">
      <c r="A34" s="67" t="str">
        <f aca="false">A13</f>
        <v>Halo</v>
      </c>
      <c r="B34" s="68" t="str">
        <f aca="false">IF(B$25&lt;$C13,"",$D13+IF($D13&gt;1,(IF(B$25&gt;=12,1,0)+IF(B$25&gt;=18,1,0)+IF(B$25&gt;18,INT((B$25-18)/5),0)),(IF(B$25&gt;=26,1,0)+IF(B$25&gt;=38,1,0)+IF(B$25&gt;38,INT((B$25-38)/12),0))))</f>
        <v/>
      </c>
      <c r="C34" s="68" t="str">
        <f aca="false">IF(C$25&lt;$C13,"",$D13+IF($D13&gt;1,(IF(C$25&gt;=12,1,0)+IF(C$25&gt;=18,1,0)+IF(C$25&gt;18,INT((C$25-18)/5),0)),(IF(C$25&gt;=26,1,0)+IF(C$25&gt;=38,1,0)+IF(C$25&gt;38,INT((C$25-38)/12),0))))</f>
        <v/>
      </c>
      <c r="D34" s="68" t="n">
        <f aca="false">IF(D$25&lt;$C13,"",$D13+IF($D13&gt;1,(IF(D$25&gt;=12,1,0)+IF(D$25&gt;=18,1,0)+IF(D$25&gt;18,INT((D$25-18)/5),0)),(IF(D$25&gt;=26,1,0)+IF(D$25&gt;=38,1,0)+IF(D$25&gt;38,INT((D$25-38)/12),0))))</f>
        <v>2</v>
      </c>
      <c r="E34" s="68" t="n">
        <f aca="false">IF(E$25&lt;$C13,"",$D13+IF($D13&gt;1,(IF(E$25&gt;=12,1,0)+IF(E$25&gt;=18,1,0)+IF(E$25&gt;18,INT((E$25-18)/5),0)),(IF(E$25&gt;=26,1,0)+IF(E$25&gt;=38,1,0)+IF(E$25&gt;38,INT((E$25-38)/12),0))))</f>
        <v>3</v>
      </c>
      <c r="F34" s="68" t="n">
        <f aca="false">IF(F$25&lt;$C13,"",$D13+IF($D13&gt;1,(IF(F$25&gt;=12,1,0)+IF(F$25&gt;=18,1,0)+IF(F$25&gt;18,INT((F$25-18)/5),0)),(IF(F$25&gt;=26,1,0)+IF(F$25&gt;=38,1,0)+IF(F$25&gt;38,INT((F$25-38)/12),0))))</f>
        <v>4</v>
      </c>
      <c r="G34" s="68" t="n">
        <f aca="false">IF(G$25&lt;$C13,"",$D13+IF($D13&gt;1,(IF(G$25&gt;=12,1,0)+IF(G$25&gt;=18,1,0)+IF(G$25&gt;18,INT((G$25-18)/5),0)),(IF(G$25&gt;=26,1,0)+IF(G$25&gt;=38,1,0)+IF(G$25&gt;38,INT((G$25-38)/12),0))))</f>
        <v>5</v>
      </c>
      <c r="H34" s="68" t="n">
        <f aca="false">IF(H$25&lt;$C13,"",$D13+IF($D13&gt;1,(IF(H$25&gt;=12,1,0)+IF(H$25&gt;=18,1,0)+IF(H$25&gt;18,INT((H$25-18)/5),0)),(IF(H$25&gt;=26,1,0)+IF(H$25&gt;=38,1,0)+IF(H$25&gt;38,INT((H$25-38)/12),0))))</f>
        <v>6</v>
      </c>
      <c r="I34" s="68" t="n">
        <f aca="false">IF(I$25&lt;$C13,"",$D13+IF($D13&gt;1,(IF(I$25&gt;=12,1,0)+IF(I$25&gt;=18,1,0)+IF(I$25&gt;18,INT((I$25-18)/5),0)),(IF(I$25&gt;=26,1,0)+IF(I$25&gt;=38,1,0)+IF(I$25&gt;38,INT((I$25-38)/12),0))))</f>
        <v>8</v>
      </c>
      <c r="J34" s="68" t="n">
        <f aca="false">IF(J$25&lt;$C13,"",$D13+IF($D13&gt;1,(IF(J$25&gt;=12,1,0)+IF(J$25&gt;=18,1,0)+IF(J$25&gt;18,INT((J$25-18)/5),0)),(IF(J$25&gt;=26,1,0)+IF(J$25&gt;=38,1,0)+IF(J$25&gt;38,INT((J$25-38)/12),0))))</f>
        <v>10</v>
      </c>
      <c r="K34" s="68" t="n">
        <f aca="false">IF(K$25&lt;$C13,"",$D13+IF($D13&gt;1,(IF(K$25&gt;=12,1,0)+IF(K$25&gt;=18,1,0)+IF(K$25&gt;18,INT((K$25-18)/5),0)),(IF(K$25&gt;=26,1,0)+IF(K$25&gt;=38,1,0)+IF(K$25&gt;38,INT((K$25-38)/12),0))))</f>
        <v>12</v>
      </c>
      <c r="L34" s="68" t="n">
        <f aca="false">IF(L$25&lt;$C13,"",$D13+IF($D13&gt;1,(IF(L$25&gt;=12,1,0)+IF(L$25&gt;=18,1,0)+IF(L$25&gt;18,INT((L$25-18)/5),0)),(IF(L$25&gt;=26,1,0)+IF(L$25&gt;=38,1,0)+IF(L$25&gt;38,INT((L$25-38)/12),0))))</f>
        <v>14</v>
      </c>
      <c r="M34" s="68" t="n">
        <f aca="false">IF(M$25&lt;$C13,"",$D13+IF($D13&gt;1,(IF(M$25&gt;=12,1,0)+IF(M$25&gt;=18,1,0)+IF(M$25&gt;18,INT((M$25-18)/5),0)),(IF(M$25&gt;=26,1,0)+IF(M$25&gt;=38,1,0)+IF(M$25&gt;38,INT((M$25-38)/12),0))))</f>
        <v>16</v>
      </c>
      <c r="N34" s="68" t="n">
        <f aca="false">IF(N$25&lt;$C13,"",$D13+IF($D13&gt;1,(IF(N$25&gt;=12,1,0)+IF(N$25&gt;=18,1,0)+IF(N$25&gt;18,INT((N$25-18)/5),0)),(IF(N$25&gt;=26,1,0)+IF(N$25&gt;=38,1,0)+IF(N$25&gt;38,INT((N$25-38)/12),0))))</f>
        <v>18</v>
      </c>
      <c r="O34" s="68" t="n">
        <f aca="false">IF(O$25&lt;$C13,"",$D13+IF($D13&gt;1,(IF(O$25&gt;=12,1,0)+IF(O$25&gt;=18,1,0)+IF(O$25&gt;18,INT((O$25-18)/5),0)),(IF(O$25&gt;=26,1,0)+IF(O$25&gt;=38,1,0)+IF(O$25&gt;38,INT((O$25-38)/12),0))))</f>
        <v>20</v>
      </c>
    </row>
    <row r="35" customFormat="false" ht="15" hidden="false" customHeight="false" outlineLevel="0" collapsed="false">
      <c r="A35" s="67" t="str">
        <f aca="false">A14</f>
        <v>Bastion</v>
      </c>
      <c r="B35" s="69" t="str">
        <f aca="false">IF(B$25&lt;$C14,"",$D14+IF($D14&gt;1,(IF(B$25&gt;=12,1,0)+IF(B$25&gt;=18,1,0)+IF(B$25&gt;18,INT((B$25-18)/5),0)),(IF(B$25&gt;=26,1,0)+IF(B$25&gt;=38,1,0)+IF(B$25&gt;38,INT((B$25-38)/12),0))))</f>
        <v/>
      </c>
      <c r="C35" s="69" t="n">
        <f aca="false">IF(C$25&lt;$C14,"",$D14+IF($D14&gt;1,(IF(C$25&gt;=12,1,0)+IF(C$25&gt;=18,1,0)+IF(C$25&gt;18,INT((C$25-18)/5),0)),(IF(C$25&gt;=26,1,0)+IF(C$25&gt;=38,1,0)+IF(C$25&gt;38,INT((C$25-38)/12),0))))</f>
        <v>14</v>
      </c>
      <c r="D35" s="69" t="n">
        <f aca="false">IF(D$25&lt;$C14,"",$D14+IF($D14&gt;1,(IF(D$25&gt;=12,1,0)+IF(D$25&gt;=18,1,0)+IF(D$25&gt;18,INT((D$25-18)/5),0)),(IF(D$25&gt;=26,1,0)+IF(D$25&gt;=38,1,0)+IF(D$25&gt;38,INT((D$25-38)/12),0))))</f>
        <v>14</v>
      </c>
      <c r="E35" s="69" t="n">
        <f aca="false">IF(E$25&lt;$C14,"",$D14+IF($D14&gt;1,(IF(E$25&gt;=12,1,0)+IF(E$25&gt;=18,1,0)+IF(E$25&gt;18,INT((E$25-18)/5),0)),(IF(E$25&gt;=26,1,0)+IF(E$25&gt;=38,1,0)+IF(E$25&gt;38,INT((E$25-38)/12),0))))</f>
        <v>15</v>
      </c>
      <c r="F35" s="69" t="n">
        <f aca="false">IF(F$25&lt;$C14,"",$D14+IF($D14&gt;1,(IF(F$25&gt;=12,1,0)+IF(F$25&gt;=18,1,0)+IF(F$25&gt;18,INT((F$25-18)/5),0)),(IF(F$25&gt;=26,1,0)+IF(F$25&gt;=38,1,0)+IF(F$25&gt;38,INT((F$25-38)/12),0))))</f>
        <v>16</v>
      </c>
      <c r="G35" s="69" t="n">
        <f aca="false">IF(G$25&lt;$C14,"",$D14+IF($D14&gt;1,(IF(G$25&gt;=12,1,0)+IF(G$25&gt;=18,1,0)+IF(G$25&gt;18,INT((G$25-18)/5),0)),(IF(G$25&gt;=26,1,0)+IF(G$25&gt;=38,1,0)+IF(G$25&gt;38,INT((G$25-38)/12),0))))</f>
        <v>17</v>
      </c>
      <c r="H35" s="69" t="n">
        <f aca="false">IF(H$25&lt;$C14,"",$D14+IF($D14&gt;1,(IF(H$25&gt;=12,1,0)+IF(H$25&gt;=18,1,0)+IF(H$25&gt;18,INT((H$25-18)/5),0)),(IF(H$25&gt;=26,1,0)+IF(H$25&gt;=38,1,0)+IF(H$25&gt;38,INT((H$25-38)/12),0))))</f>
        <v>18</v>
      </c>
      <c r="I35" s="69" t="n">
        <f aca="false">IF(I$25&lt;$C14,"",$D14+IF($D14&gt;1,(IF(I$25&gt;=12,1,0)+IF(I$25&gt;=18,1,0)+IF(I$25&gt;18,INT((I$25-18)/5),0)),(IF(I$25&gt;=26,1,0)+IF(I$25&gt;=38,1,0)+IF(I$25&gt;38,INT((I$25-38)/12),0))))</f>
        <v>20</v>
      </c>
      <c r="J35" s="69" t="n">
        <f aca="false">IF(J$25&lt;$C14,"",$D14+IF($D14&gt;1,(IF(J$25&gt;=12,1,0)+IF(J$25&gt;=18,1,0)+IF(J$25&gt;18,INT((J$25-18)/5),0)),(IF(J$25&gt;=26,1,0)+IF(J$25&gt;=38,1,0)+IF(J$25&gt;38,INT((J$25-38)/12),0))))</f>
        <v>22</v>
      </c>
      <c r="K35" s="69" t="n">
        <f aca="false">IF(K$25&lt;$C14,"",$D14+IF($D14&gt;1,(IF(K$25&gt;=12,1,0)+IF(K$25&gt;=18,1,0)+IF(K$25&gt;18,INT((K$25-18)/5),0)),(IF(K$25&gt;=26,1,0)+IF(K$25&gt;=38,1,0)+IF(K$25&gt;38,INT((K$25-38)/12),0))))</f>
        <v>24</v>
      </c>
      <c r="L35" s="69" t="n">
        <f aca="false">IF(L$25&lt;$C14,"",$D14+IF($D14&gt;1,(IF(L$25&gt;=12,1,0)+IF(L$25&gt;=18,1,0)+IF(L$25&gt;18,INT((L$25-18)/5),0)),(IF(L$25&gt;=26,1,0)+IF(L$25&gt;=38,1,0)+IF(L$25&gt;38,INT((L$25-38)/12),0))))</f>
        <v>26</v>
      </c>
      <c r="M35" s="69" t="n">
        <f aca="false">IF(M$25&lt;$C14,"",$D14+IF($D14&gt;1,(IF(M$25&gt;=12,1,0)+IF(M$25&gt;=18,1,0)+IF(M$25&gt;18,INT((M$25-18)/5),0)),(IF(M$25&gt;=26,1,0)+IF(M$25&gt;=38,1,0)+IF(M$25&gt;38,INT((M$25-38)/12),0))))</f>
        <v>28</v>
      </c>
      <c r="N35" s="69" t="n">
        <f aca="false">IF(N$25&lt;$C14,"",$D14+IF($D14&gt;1,(IF(N$25&gt;=12,1,0)+IF(N$25&gt;=18,1,0)+IF(N$25&gt;18,INT((N$25-18)/5),0)),(IF(N$25&gt;=26,1,0)+IF(N$25&gt;=38,1,0)+IF(N$25&gt;38,INT((N$25-38)/12),0))))</f>
        <v>30</v>
      </c>
      <c r="O35" s="69" t="n">
        <f aca="false">IF(O$25&lt;$C14,"",$D14+IF($D14&gt;1,(IF(O$25&gt;=12,1,0)+IF(O$25&gt;=18,1,0)+IF(O$25&gt;18,INT((O$25-18)/5),0)),(IF(O$25&gt;=26,1,0)+IF(O$25&gt;=38,1,0)+IF(O$25&gt;38,INT((O$25-38)/12),0))))</f>
        <v>32</v>
      </c>
    </row>
    <row r="36" customFormat="false" ht="15" hidden="false" customHeight="false" outlineLevel="0" collapsed="false">
      <c r="A36" s="67" t="str">
        <f aca="false">A15</f>
        <v>Hammer</v>
      </c>
      <c r="B36" s="68" t="str">
        <f aca="false">IF(B$25&lt;$C15,"",$D15+IF($D15&gt;1,(IF(B$25&gt;=12,1,0)+IF(B$25&gt;=18,1,0)+IF(B$25&gt;18,INT((B$25-18)/5),0)),(IF(B$25&gt;=26,1,0)+IF(B$25&gt;=38,1,0)+IF(B$25&gt;38,INT((B$25-38)/12),0))))</f>
        <v/>
      </c>
      <c r="C36" s="68" t="str">
        <f aca="false">IF(C$25&lt;$C15,"",$D15+IF($D15&gt;1,(IF(C$25&gt;=12,1,0)+IF(C$25&gt;=18,1,0)+IF(C$25&gt;18,INT((C$25-18)/5),0)),(IF(C$25&gt;=26,1,0)+IF(C$25&gt;=38,1,0)+IF(C$25&gt;38,INT((C$25-38)/12),0))))</f>
        <v/>
      </c>
      <c r="D36" s="68" t="str">
        <f aca="false">IF(D$25&lt;$C15,"",$D15+IF($D15&gt;1,(IF(D$25&gt;=12,1,0)+IF(D$25&gt;=18,1,0)+IF(D$25&gt;18,INT((D$25-18)/5),0)),(IF(D$25&gt;=26,1,0)+IF(D$25&gt;=38,1,0)+IF(D$25&gt;38,INT((D$25-38)/12),0))))</f>
        <v/>
      </c>
      <c r="E36" s="68" t="n">
        <f aca="false">IF(E$25&lt;$C15,"",$D15+IF($D15&gt;1,(IF(E$25&gt;=12,1,0)+IF(E$25&gt;=18,1,0)+IF(E$25&gt;18,INT((E$25-18)/5),0)),(IF(E$25&gt;=26,1,0)+IF(E$25&gt;=38,1,0)+IF(E$25&gt;38,INT((E$25-38)/12),0))))</f>
        <v>7</v>
      </c>
      <c r="F36" s="68" t="n">
        <f aca="false">IF(F$25&lt;$C15,"",$D15+IF($D15&gt;1,(IF(F$25&gt;=12,1,0)+IF(F$25&gt;=18,1,0)+IF(F$25&gt;18,INT((F$25-18)/5),0)),(IF(F$25&gt;=26,1,0)+IF(F$25&gt;=38,1,0)+IF(F$25&gt;38,INT((F$25-38)/12),0))))</f>
        <v>8</v>
      </c>
      <c r="G36" s="68" t="n">
        <f aca="false">IF(G$25&lt;$C15,"",$D15+IF($D15&gt;1,(IF(G$25&gt;=12,1,0)+IF(G$25&gt;=18,1,0)+IF(G$25&gt;18,INT((G$25-18)/5),0)),(IF(G$25&gt;=26,1,0)+IF(G$25&gt;=38,1,0)+IF(G$25&gt;38,INT((G$25-38)/12),0))))</f>
        <v>9</v>
      </c>
      <c r="H36" s="68" t="n">
        <f aca="false">IF(H$25&lt;$C15,"",$D15+IF($D15&gt;1,(IF(H$25&gt;=12,1,0)+IF(H$25&gt;=18,1,0)+IF(H$25&gt;18,INT((H$25-18)/5),0)),(IF(H$25&gt;=26,1,0)+IF(H$25&gt;=38,1,0)+IF(H$25&gt;38,INT((H$25-38)/12),0))))</f>
        <v>10</v>
      </c>
      <c r="I36" s="68" t="n">
        <f aca="false">IF(I$25&lt;$C15,"",$D15+IF($D15&gt;1,(IF(I$25&gt;=12,1,0)+IF(I$25&gt;=18,1,0)+IF(I$25&gt;18,INT((I$25-18)/5),0)),(IF(I$25&gt;=26,1,0)+IF(I$25&gt;=38,1,0)+IF(I$25&gt;38,INT((I$25-38)/12),0))))</f>
        <v>12</v>
      </c>
      <c r="J36" s="68" t="n">
        <f aca="false">IF(J$25&lt;$C15,"",$D15+IF($D15&gt;1,(IF(J$25&gt;=12,1,0)+IF(J$25&gt;=18,1,0)+IF(J$25&gt;18,INT((J$25-18)/5),0)),(IF(J$25&gt;=26,1,0)+IF(J$25&gt;=38,1,0)+IF(J$25&gt;38,INT((J$25-38)/12),0))))</f>
        <v>14</v>
      </c>
      <c r="K36" s="68" t="n">
        <f aca="false">IF(K$25&lt;$C15,"",$D15+IF($D15&gt;1,(IF(K$25&gt;=12,1,0)+IF(K$25&gt;=18,1,0)+IF(K$25&gt;18,INT((K$25-18)/5),0)),(IF(K$25&gt;=26,1,0)+IF(K$25&gt;=38,1,0)+IF(K$25&gt;38,INT((K$25-38)/12),0))))</f>
        <v>16</v>
      </c>
      <c r="L36" s="68" t="n">
        <f aca="false">IF(L$25&lt;$C15,"",$D15+IF($D15&gt;1,(IF(L$25&gt;=12,1,0)+IF(L$25&gt;=18,1,0)+IF(L$25&gt;18,INT((L$25-18)/5),0)),(IF(L$25&gt;=26,1,0)+IF(L$25&gt;=38,1,0)+IF(L$25&gt;38,INT((L$25-38)/12),0))))</f>
        <v>18</v>
      </c>
      <c r="M36" s="68" t="n">
        <f aca="false">IF(M$25&lt;$C15,"",$D15+IF($D15&gt;1,(IF(M$25&gt;=12,1,0)+IF(M$25&gt;=18,1,0)+IF(M$25&gt;18,INT((M$25-18)/5),0)),(IF(M$25&gt;=26,1,0)+IF(M$25&gt;=38,1,0)+IF(M$25&gt;38,INT((M$25-38)/12),0))))</f>
        <v>20</v>
      </c>
      <c r="N36" s="68" t="n">
        <f aca="false">IF(N$25&lt;$C15,"",$D15+IF($D15&gt;1,(IF(N$25&gt;=12,1,0)+IF(N$25&gt;=18,1,0)+IF(N$25&gt;18,INT((N$25-18)/5),0)),(IF(N$25&gt;=26,1,0)+IF(N$25&gt;=38,1,0)+IF(N$25&gt;38,INT((N$25-38)/12),0))))</f>
        <v>22</v>
      </c>
      <c r="O36" s="68" t="n">
        <f aca="false">IF(O$25&lt;$C15,"",$D15+IF($D15&gt;1,(IF(O$25&gt;=12,1,0)+IF(O$25&gt;=18,1,0)+IF(O$25&gt;18,INT((O$25-18)/5),0)),(IF(O$25&gt;=26,1,0)+IF(O$25&gt;=38,1,0)+IF(O$25&gt;38,INT((O$25-38)/12),0))))</f>
        <v>24</v>
      </c>
    </row>
    <row r="37" customFormat="false" ht="15" hidden="false" customHeight="false" outlineLevel="0" collapsed="false">
      <c r="A37" s="67" t="str">
        <f aca="false">A16</f>
        <v>Mothership</v>
      </c>
      <c r="B37" s="69" t="str">
        <f aca="false">IF(B$25&lt;$C16,"",$D16+IF($D16&gt;1,(IF(B$25&gt;=12,1,0)+IF(B$25&gt;=18,1,0)+IF(B$25&gt;18,INT((B$25-18)/5),0)),(IF(B$25&gt;=26,1,0)+IF(B$25&gt;=38,1,0)+IF(B$25&gt;38,INT((B$25-38)/12),0))))</f>
        <v/>
      </c>
      <c r="C37" s="69" t="str">
        <f aca="false">IF(C$25&lt;$C16,"",$D16+IF($D16&gt;1,(IF(C$25&gt;=12,1,0)+IF(C$25&gt;=18,1,0)+IF(C$25&gt;18,INT((C$25-18)/5),0)),(IF(C$25&gt;=26,1,0)+IF(C$25&gt;=38,1,0)+IF(C$25&gt;38,INT((C$25-38)/12),0))))</f>
        <v/>
      </c>
      <c r="D37" s="69" t="n">
        <f aca="false">IF(D$25&lt;$C16,"",$D16+IF($D16&gt;1,(IF(D$25&gt;=12,1,0)+IF(D$25&gt;=18,1,0)+IF(D$25&gt;18,INT((D$25-18)/5),0)),(IF(D$25&gt;=26,1,0)+IF(D$25&gt;=38,1,0)+IF(D$25&gt;38,INT((D$25-38)/12),0))))</f>
        <v>40</v>
      </c>
      <c r="E37" s="69" t="n">
        <f aca="false">IF(E$25&lt;$C16,"",$D16+IF($D16&gt;1,(IF(E$25&gt;=12,1,0)+IF(E$25&gt;=18,1,0)+IF(E$25&gt;18,INT((E$25-18)/5),0)),(IF(E$25&gt;=26,1,0)+IF(E$25&gt;=38,1,0)+IF(E$25&gt;38,INT((E$25-38)/12),0))))</f>
        <v>41</v>
      </c>
      <c r="F37" s="69" t="n">
        <f aca="false">IF(F$25&lt;$C16,"",$D16+IF($D16&gt;1,(IF(F$25&gt;=12,1,0)+IF(F$25&gt;=18,1,0)+IF(F$25&gt;18,INT((F$25-18)/5),0)),(IF(F$25&gt;=26,1,0)+IF(F$25&gt;=38,1,0)+IF(F$25&gt;38,INT((F$25-38)/12),0))))</f>
        <v>42</v>
      </c>
      <c r="G37" s="69" t="n">
        <f aca="false">IF(G$25&lt;$C16,"",$D16+IF($D16&gt;1,(IF(G$25&gt;=12,1,0)+IF(G$25&gt;=18,1,0)+IF(G$25&gt;18,INT((G$25-18)/5),0)),(IF(G$25&gt;=26,1,0)+IF(G$25&gt;=38,1,0)+IF(G$25&gt;38,INT((G$25-38)/12),0))))</f>
        <v>43</v>
      </c>
      <c r="H37" s="69" t="n">
        <f aca="false">IF(H$25&lt;$C16,"",$D16+IF($D16&gt;1,(IF(H$25&gt;=12,1,0)+IF(H$25&gt;=18,1,0)+IF(H$25&gt;18,INT((H$25-18)/5),0)),(IF(H$25&gt;=26,1,0)+IF(H$25&gt;=38,1,0)+IF(H$25&gt;38,INT((H$25-38)/12),0))))</f>
        <v>44</v>
      </c>
      <c r="I37" s="69" t="n">
        <f aca="false">IF(I$25&lt;$C16,"",$D16+IF($D16&gt;1,(IF(I$25&gt;=12,1,0)+IF(I$25&gt;=18,1,0)+IF(I$25&gt;18,INT((I$25-18)/5),0)),(IF(I$25&gt;=26,1,0)+IF(I$25&gt;=38,1,0)+IF(I$25&gt;38,INT((I$25-38)/12),0))))</f>
        <v>46</v>
      </c>
      <c r="J37" s="69" t="n">
        <f aca="false">IF(J$25&lt;$C16,"",$D16+IF($D16&gt;1,(IF(J$25&gt;=12,1,0)+IF(J$25&gt;=18,1,0)+IF(J$25&gt;18,INT((J$25-18)/5),0)),(IF(J$25&gt;=26,1,0)+IF(J$25&gt;=38,1,0)+IF(J$25&gt;38,INT((J$25-38)/12),0))))</f>
        <v>48</v>
      </c>
      <c r="K37" s="69" t="n">
        <f aca="false">IF(K$25&lt;$C16,"",$D16+IF($D16&gt;1,(IF(K$25&gt;=12,1,0)+IF(K$25&gt;=18,1,0)+IF(K$25&gt;18,INT((K$25-18)/5),0)),(IF(K$25&gt;=26,1,0)+IF(K$25&gt;=38,1,0)+IF(K$25&gt;38,INT((K$25-38)/12),0))))</f>
        <v>50</v>
      </c>
      <c r="L37" s="69" t="n">
        <f aca="false">IF(L$25&lt;$C16,"",$D16+IF($D16&gt;1,(IF(L$25&gt;=12,1,0)+IF(L$25&gt;=18,1,0)+IF(L$25&gt;18,INT((L$25-18)/5),0)),(IF(L$25&gt;=26,1,0)+IF(L$25&gt;=38,1,0)+IF(L$25&gt;38,INT((L$25-38)/12),0))))</f>
        <v>52</v>
      </c>
      <c r="M37" s="69" t="n">
        <f aca="false">IF(M$25&lt;$C16,"",$D16+IF($D16&gt;1,(IF(M$25&gt;=12,1,0)+IF(M$25&gt;=18,1,0)+IF(M$25&gt;18,INT((M$25-18)/5),0)),(IF(M$25&gt;=26,1,0)+IF(M$25&gt;=38,1,0)+IF(M$25&gt;38,INT((M$25-38)/12),0))))</f>
        <v>54</v>
      </c>
      <c r="N37" s="69" t="n">
        <f aca="false">IF(N$25&lt;$C16,"",$D16+IF($D16&gt;1,(IF(N$25&gt;=12,1,0)+IF(N$25&gt;=18,1,0)+IF(N$25&gt;18,INT((N$25-18)/5),0)),(IF(N$25&gt;=26,1,0)+IF(N$25&gt;=38,1,0)+IF(N$25&gt;38,INT((N$25-38)/12),0))))</f>
        <v>56</v>
      </c>
      <c r="O37" s="69" t="n">
        <f aca="false">IF(O$25&lt;$C16,"",$D16+IF($D16&gt;1,(IF(O$25&gt;=12,1,0)+IF(O$25&gt;=18,1,0)+IF(O$25&gt;18,INT((O$25-18)/5),0)),(IF(O$25&gt;=26,1,0)+IF(O$25&gt;=38,1,0)+IF(O$25&gt;38,INT((O$25-38)/12),0))))</f>
        <v>58</v>
      </c>
    </row>
    <row r="38" customFormat="false" ht="15" hidden="false" customHeight="false" outlineLevel="0" collapsed="false">
      <c r="A38" s="67" t="str">
        <f aca="false">A17</f>
        <v>Lancer</v>
      </c>
      <c r="B38" s="68" t="str">
        <f aca="false">IF(B$25&lt;$C17,"",$D17+IF($D17&gt;1,(IF(B$25&gt;=12,1,0)+IF(B$25&gt;=18,1,0)+IF(B$25&gt;18,INT((B$25-18)/5),0)),(IF(B$25&gt;=26,1,0)+IF(B$25&gt;=38,1,0)+IF(B$25&gt;38,INT((B$25-38)/12),0))))</f>
        <v/>
      </c>
      <c r="C38" s="68" t="str">
        <f aca="false">IF(C$25&lt;$C17,"",$D17+IF($D17&gt;1,(IF(C$25&gt;=12,1,0)+IF(C$25&gt;=18,1,0)+IF(C$25&gt;18,INT((C$25-18)/5),0)),(IF(C$25&gt;=26,1,0)+IF(C$25&gt;=38,1,0)+IF(C$25&gt;38,INT((C$25-38)/12),0))))</f>
        <v/>
      </c>
      <c r="D38" s="68" t="str">
        <f aca="false">IF(D$25&lt;$C17,"",$D17+IF($D17&gt;1,(IF(D$25&gt;=12,1,0)+IF(D$25&gt;=18,1,0)+IF(D$25&gt;18,INT((D$25-18)/5),0)),(IF(D$25&gt;=26,1,0)+IF(D$25&gt;=38,1,0)+IF(D$25&gt;38,INT((D$25-38)/12),0))))</f>
        <v/>
      </c>
      <c r="E38" s="68" t="n">
        <f aca="false">IF(E$25&lt;$C17,"",$D17+IF($D17&gt;1,(IF(E$25&gt;=12,1,0)+IF(E$25&gt;=18,1,0)+IF(E$25&gt;18,INT((E$25-18)/5),0)),(IF(E$25&gt;=26,1,0)+IF(E$25&gt;=38,1,0)+IF(E$25&gt;38,INT((E$25-38)/12),0))))</f>
        <v>7</v>
      </c>
      <c r="F38" s="68" t="n">
        <f aca="false">IF(F$25&lt;$C17,"",$D17+IF($D17&gt;1,(IF(F$25&gt;=12,1,0)+IF(F$25&gt;=18,1,0)+IF(F$25&gt;18,INT((F$25-18)/5),0)),(IF(F$25&gt;=26,1,0)+IF(F$25&gt;=38,1,0)+IF(F$25&gt;38,INT((F$25-38)/12),0))))</f>
        <v>8</v>
      </c>
      <c r="G38" s="68" t="n">
        <f aca="false">IF(G$25&lt;$C17,"",$D17+IF($D17&gt;1,(IF(G$25&gt;=12,1,0)+IF(G$25&gt;=18,1,0)+IF(G$25&gt;18,INT((G$25-18)/5),0)),(IF(G$25&gt;=26,1,0)+IF(G$25&gt;=38,1,0)+IF(G$25&gt;38,INT((G$25-38)/12),0))))</f>
        <v>9</v>
      </c>
      <c r="H38" s="68" t="n">
        <f aca="false">IF(H$25&lt;$C17,"",$D17+IF($D17&gt;1,(IF(H$25&gt;=12,1,0)+IF(H$25&gt;=18,1,0)+IF(H$25&gt;18,INT((H$25-18)/5),0)),(IF(H$25&gt;=26,1,0)+IF(H$25&gt;=38,1,0)+IF(H$25&gt;38,INT((H$25-38)/12),0))))</f>
        <v>10</v>
      </c>
      <c r="I38" s="68" t="n">
        <f aca="false">IF(I$25&lt;$C17,"",$D17+IF($D17&gt;1,(IF(I$25&gt;=12,1,0)+IF(I$25&gt;=18,1,0)+IF(I$25&gt;18,INT((I$25-18)/5),0)),(IF(I$25&gt;=26,1,0)+IF(I$25&gt;=38,1,0)+IF(I$25&gt;38,INT((I$25-38)/12),0))))</f>
        <v>12</v>
      </c>
      <c r="J38" s="68" t="n">
        <f aca="false">IF(J$25&lt;$C17,"",$D17+IF($D17&gt;1,(IF(J$25&gt;=12,1,0)+IF(J$25&gt;=18,1,0)+IF(J$25&gt;18,INT((J$25-18)/5),0)),(IF(J$25&gt;=26,1,0)+IF(J$25&gt;=38,1,0)+IF(J$25&gt;38,INT((J$25-38)/12),0))))</f>
        <v>14</v>
      </c>
      <c r="K38" s="68" t="n">
        <f aca="false">IF(K$25&lt;$C17,"",$D17+IF($D17&gt;1,(IF(K$25&gt;=12,1,0)+IF(K$25&gt;=18,1,0)+IF(K$25&gt;18,INT((K$25-18)/5),0)),(IF(K$25&gt;=26,1,0)+IF(K$25&gt;=38,1,0)+IF(K$25&gt;38,INT((K$25-38)/12),0))))</f>
        <v>16</v>
      </c>
      <c r="L38" s="68" t="n">
        <f aca="false">IF(L$25&lt;$C17,"",$D17+IF($D17&gt;1,(IF(L$25&gt;=12,1,0)+IF(L$25&gt;=18,1,0)+IF(L$25&gt;18,INT((L$25-18)/5),0)),(IF(L$25&gt;=26,1,0)+IF(L$25&gt;=38,1,0)+IF(L$25&gt;38,INT((L$25-38)/12),0))))</f>
        <v>18</v>
      </c>
      <c r="M38" s="68" t="n">
        <f aca="false">IF(M$25&lt;$C17,"",$D17+IF($D17&gt;1,(IF(M$25&gt;=12,1,0)+IF(M$25&gt;=18,1,0)+IF(M$25&gt;18,INT((M$25-18)/5),0)),(IF(M$25&gt;=26,1,0)+IF(M$25&gt;=38,1,0)+IF(M$25&gt;38,INT((M$25-38)/12),0))))</f>
        <v>20</v>
      </c>
      <c r="N38" s="68" t="n">
        <f aca="false">IF(N$25&lt;$C17,"",$D17+IF($D17&gt;1,(IF(N$25&gt;=12,1,0)+IF(N$25&gt;=18,1,0)+IF(N$25&gt;18,INT((N$25-18)/5),0)),(IF(N$25&gt;=26,1,0)+IF(N$25&gt;=38,1,0)+IF(N$25&gt;38,INT((N$25-38)/12),0))))</f>
        <v>22</v>
      </c>
      <c r="O38" s="68" t="n">
        <f aca="false">IF(O$25&lt;$C17,"",$D17+IF($D17&gt;1,(IF(O$25&gt;=12,1,0)+IF(O$25&gt;=18,1,0)+IF(O$25&gt;18,INT((O$25-18)/5),0)),(IF(O$25&gt;=26,1,0)+IF(O$25&gt;=38,1,0)+IF(O$25&gt;38,INT((O$25-38)/12),0))))</f>
        <v>24</v>
      </c>
    </row>
    <row r="39" customFormat="false" ht="15" hidden="false" customHeight="false" outlineLevel="0" collapsed="false">
      <c r="A39" s="67" t="str">
        <f aca="false">A18</f>
        <v>Leech</v>
      </c>
      <c r="B39" s="69" t="str">
        <f aca="false">IF(B$25&lt;$C18,"",$D18+IF($D18&gt;1,(IF(B$25&gt;=12,1,0)+IF(B$25&gt;=18,1,0)+IF(B$25&gt;18,INT((B$25-18)/5),0)),(IF(B$25&gt;=26,1,0)+IF(B$25&gt;=38,1,0)+IF(B$25&gt;38,INT((B$25-38)/12),0))))</f>
        <v/>
      </c>
      <c r="C39" s="69" t="str">
        <f aca="false">IF(C$25&lt;$C18,"",$D18+IF($D18&gt;1,(IF(C$25&gt;=12,1,0)+IF(C$25&gt;=18,1,0)+IF(C$25&gt;18,INT((C$25-18)/5),0)),(IF(C$25&gt;=26,1,0)+IF(C$25&gt;=38,1,0)+IF(C$25&gt;38,INT((C$25-38)/12),0))))</f>
        <v/>
      </c>
      <c r="D39" s="69" t="n">
        <f aca="false">IF(D$25&lt;$C18,"",$D18+IF($D18&gt;1,(IF(D$25&gt;=12,1,0)+IF(D$25&gt;=18,1,0)+IF(D$25&gt;18,INT((D$25-18)/5),0)),(IF(D$25&gt;=26,1,0)+IF(D$25&gt;=38,1,0)+IF(D$25&gt;38,INT((D$25-38)/12),0))))</f>
        <v>3</v>
      </c>
      <c r="E39" s="69" t="n">
        <f aca="false">IF(E$25&lt;$C18,"",$D18+IF($D18&gt;1,(IF(E$25&gt;=12,1,0)+IF(E$25&gt;=18,1,0)+IF(E$25&gt;18,INT((E$25-18)/5),0)),(IF(E$25&gt;=26,1,0)+IF(E$25&gt;=38,1,0)+IF(E$25&gt;38,INT((E$25-38)/12),0))))</f>
        <v>4</v>
      </c>
      <c r="F39" s="69" t="n">
        <f aca="false">IF(F$25&lt;$C18,"",$D18+IF($D18&gt;1,(IF(F$25&gt;=12,1,0)+IF(F$25&gt;=18,1,0)+IF(F$25&gt;18,INT((F$25-18)/5),0)),(IF(F$25&gt;=26,1,0)+IF(F$25&gt;=38,1,0)+IF(F$25&gt;38,INT((F$25-38)/12),0))))</f>
        <v>5</v>
      </c>
      <c r="G39" s="69" t="n">
        <f aca="false">IF(G$25&lt;$C18,"",$D18+IF($D18&gt;1,(IF(G$25&gt;=12,1,0)+IF(G$25&gt;=18,1,0)+IF(G$25&gt;18,INT((G$25-18)/5),0)),(IF(G$25&gt;=26,1,0)+IF(G$25&gt;=38,1,0)+IF(G$25&gt;38,INT((G$25-38)/12),0))))</f>
        <v>6</v>
      </c>
      <c r="H39" s="69" t="n">
        <f aca="false">IF(H$25&lt;$C18,"",$D18+IF($D18&gt;1,(IF(H$25&gt;=12,1,0)+IF(H$25&gt;=18,1,0)+IF(H$25&gt;18,INT((H$25-18)/5),0)),(IF(H$25&gt;=26,1,0)+IF(H$25&gt;=38,1,0)+IF(H$25&gt;38,INT((H$25-38)/12),0))))</f>
        <v>7</v>
      </c>
      <c r="I39" s="69" t="n">
        <f aca="false">IF(I$25&lt;$C18,"",$D18+IF($D18&gt;1,(IF(I$25&gt;=12,1,0)+IF(I$25&gt;=18,1,0)+IF(I$25&gt;18,INT((I$25-18)/5),0)),(IF(I$25&gt;=26,1,0)+IF(I$25&gt;=38,1,0)+IF(I$25&gt;38,INT((I$25-38)/12),0))))</f>
        <v>9</v>
      </c>
      <c r="J39" s="69" t="n">
        <f aca="false">IF(J$25&lt;$C18,"",$D18+IF($D18&gt;1,(IF(J$25&gt;=12,1,0)+IF(J$25&gt;=18,1,0)+IF(J$25&gt;18,INT((J$25-18)/5),0)),(IF(J$25&gt;=26,1,0)+IF(J$25&gt;=38,1,0)+IF(J$25&gt;38,INT((J$25-38)/12),0))))</f>
        <v>11</v>
      </c>
      <c r="K39" s="69" t="n">
        <f aca="false">IF(K$25&lt;$C18,"",$D18+IF($D18&gt;1,(IF(K$25&gt;=12,1,0)+IF(K$25&gt;=18,1,0)+IF(K$25&gt;18,INT((K$25-18)/5),0)),(IF(K$25&gt;=26,1,0)+IF(K$25&gt;=38,1,0)+IF(K$25&gt;38,INT((K$25-38)/12),0))))</f>
        <v>13</v>
      </c>
      <c r="L39" s="69" t="n">
        <f aca="false">IF(L$25&lt;$C18,"",$D18+IF($D18&gt;1,(IF(L$25&gt;=12,1,0)+IF(L$25&gt;=18,1,0)+IF(L$25&gt;18,INT((L$25-18)/5),0)),(IF(L$25&gt;=26,1,0)+IF(L$25&gt;=38,1,0)+IF(L$25&gt;38,INT((L$25-38)/12),0))))</f>
        <v>15</v>
      </c>
      <c r="M39" s="69" t="n">
        <f aca="false">IF(M$25&lt;$C18,"",$D18+IF($D18&gt;1,(IF(M$25&gt;=12,1,0)+IF(M$25&gt;=18,1,0)+IF(M$25&gt;18,INT((M$25-18)/5),0)),(IF(M$25&gt;=26,1,0)+IF(M$25&gt;=38,1,0)+IF(M$25&gt;38,INT((M$25-38)/12),0))))</f>
        <v>17</v>
      </c>
      <c r="N39" s="69" t="n">
        <f aca="false">IF(N$25&lt;$C18,"",$D18+IF($D18&gt;1,(IF(N$25&gt;=12,1,0)+IF(N$25&gt;=18,1,0)+IF(N$25&gt;18,INT((N$25-18)/5),0)),(IF(N$25&gt;=26,1,0)+IF(N$25&gt;=38,1,0)+IF(N$25&gt;38,INT((N$25-38)/12),0))))</f>
        <v>19</v>
      </c>
      <c r="O39" s="69" t="n">
        <f aca="false">IF(O$25&lt;$C18,"",$D18+IF($D18&gt;1,(IF(O$25&gt;=12,1,0)+IF(O$25&gt;=18,1,0)+IF(O$25&gt;18,INT((O$25-18)/5),0)),(IF(O$25&gt;=26,1,0)+IF(O$25&gt;=38,1,0)+IF(O$25&gt;38,INT((O$25-38)/12),0))))</f>
        <v>21</v>
      </c>
    </row>
    <row r="40" customFormat="false" ht="15" hidden="false" customHeight="false" outlineLevel="0" collapsed="false">
      <c r="A40" s="67" t="str">
        <f aca="false">A19</f>
        <v>Herald</v>
      </c>
      <c r="B40" s="68" t="str">
        <f aca="false">IF(B$25&lt;$C19,"",$D19+IF($D19&gt;1,(IF(B$25&gt;=12,1,0)+IF(B$25&gt;=18,1,0)+IF(B$25&gt;18,INT((B$25-18)/5),0)),(IF(B$25&gt;=26,1,0)+IF(B$25&gt;=38,1,0)+IF(B$25&gt;38,INT((B$25-38)/12),0))))</f>
        <v/>
      </c>
      <c r="C40" s="68" t="str">
        <f aca="false">IF(C$25&lt;$C19,"",$D19+IF($D19&gt;1,(IF(C$25&gt;=12,1,0)+IF(C$25&gt;=18,1,0)+IF(C$25&gt;18,INT((C$25-18)/5),0)),(IF(C$25&gt;=26,1,0)+IF(C$25&gt;=38,1,0)+IF(C$25&gt;38,INT((C$25-38)/12),0))))</f>
        <v/>
      </c>
      <c r="D40" s="68" t="str">
        <f aca="false">IF(D$25&lt;$C19,"",$D19+IF($D19&gt;1,(IF(D$25&gt;=12,1,0)+IF(D$25&gt;=18,1,0)+IF(D$25&gt;18,INT((D$25-18)/5),0)),(IF(D$25&gt;=26,1,0)+IF(D$25&gt;=38,1,0)+IF(D$25&gt;38,INT((D$25-38)/12),0))))</f>
        <v/>
      </c>
      <c r="E40" s="68" t="str">
        <f aca="false">IF(E$25&lt;$C19,"",$D19+IF($D19&gt;1,(IF(E$25&gt;=12,1,0)+IF(E$25&gt;=18,1,0)+IF(E$25&gt;18,INT((E$25-18)/5),0)),(IF(E$25&gt;=26,1,0)+IF(E$25&gt;=38,1,0)+IF(E$25&gt;38,INT((E$25-38)/12),0))))</f>
        <v/>
      </c>
      <c r="F40" s="68" t="n">
        <f aca="false">IF(F$25&lt;$C19,"",$D19+IF($D19&gt;1,(IF(F$25&gt;=12,1,0)+IF(F$25&gt;=18,1,0)+IF(F$25&gt;18,INT((F$25-18)/5),0)),(IF(F$25&gt;=26,1,0)+IF(F$25&gt;=38,1,0)+IF(F$25&gt;38,INT((F$25-38)/12),0))))</f>
        <v>12</v>
      </c>
      <c r="G40" s="68" t="n">
        <f aca="false">IF(G$25&lt;$C19,"",$D19+IF($D19&gt;1,(IF(G$25&gt;=12,1,0)+IF(G$25&gt;=18,1,0)+IF(G$25&gt;18,INT((G$25-18)/5),0)),(IF(G$25&gt;=26,1,0)+IF(G$25&gt;=38,1,0)+IF(G$25&gt;38,INT((G$25-38)/12),0))))</f>
        <v>13</v>
      </c>
      <c r="H40" s="68" t="n">
        <f aca="false">IF(H$25&lt;$C19,"",$D19+IF($D19&gt;1,(IF(H$25&gt;=12,1,0)+IF(H$25&gt;=18,1,0)+IF(H$25&gt;18,INT((H$25-18)/5),0)),(IF(H$25&gt;=26,1,0)+IF(H$25&gt;=38,1,0)+IF(H$25&gt;38,INT((H$25-38)/12),0))))</f>
        <v>14</v>
      </c>
      <c r="I40" s="68" t="n">
        <f aca="false">IF(I$25&lt;$C19,"",$D19+IF($D19&gt;1,(IF(I$25&gt;=12,1,0)+IF(I$25&gt;=18,1,0)+IF(I$25&gt;18,INT((I$25-18)/5),0)),(IF(I$25&gt;=26,1,0)+IF(I$25&gt;=38,1,0)+IF(I$25&gt;38,INT((I$25-38)/12),0))))</f>
        <v>16</v>
      </c>
      <c r="J40" s="68" t="n">
        <f aca="false">IF(J$25&lt;$C19,"",$D19+IF($D19&gt;1,(IF(J$25&gt;=12,1,0)+IF(J$25&gt;=18,1,0)+IF(J$25&gt;18,INT((J$25-18)/5),0)),(IF(J$25&gt;=26,1,0)+IF(J$25&gt;=38,1,0)+IF(J$25&gt;38,INT((J$25-38)/12),0))))</f>
        <v>18</v>
      </c>
      <c r="K40" s="68" t="n">
        <f aca="false">IF(K$25&lt;$C19,"",$D19+IF($D19&gt;1,(IF(K$25&gt;=12,1,0)+IF(K$25&gt;=18,1,0)+IF(K$25&gt;18,INT((K$25-18)/5),0)),(IF(K$25&gt;=26,1,0)+IF(K$25&gt;=38,1,0)+IF(K$25&gt;38,INT((K$25-38)/12),0))))</f>
        <v>20</v>
      </c>
      <c r="L40" s="68" t="n">
        <f aca="false">IF(L$25&lt;$C19,"",$D19+IF($D19&gt;1,(IF(L$25&gt;=12,1,0)+IF(L$25&gt;=18,1,0)+IF(L$25&gt;18,INT((L$25-18)/5),0)),(IF(L$25&gt;=26,1,0)+IF(L$25&gt;=38,1,0)+IF(L$25&gt;38,INT((L$25-38)/12),0))))</f>
        <v>22</v>
      </c>
      <c r="M40" s="68" t="n">
        <f aca="false">IF(M$25&lt;$C19,"",$D19+IF($D19&gt;1,(IF(M$25&gt;=12,1,0)+IF(M$25&gt;=18,1,0)+IF(M$25&gt;18,INT((M$25-18)/5),0)),(IF(M$25&gt;=26,1,0)+IF(M$25&gt;=38,1,0)+IF(M$25&gt;38,INT((M$25-38)/12),0))))</f>
        <v>24</v>
      </c>
      <c r="N40" s="68" t="n">
        <f aca="false">IF(N$25&lt;$C19,"",$D19+IF($D19&gt;1,(IF(N$25&gt;=12,1,0)+IF(N$25&gt;=18,1,0)+IF(N$25&gt;18,INT((N$25-18)/5),0)),(IF(N$25&gt;=26,1,0)+IF(N$25&gt;=38,1,0)+IF(N$25&gt;38,INT((N$25-38)/12),0))))</f>
        <v>26</v>
      </c>
      <c r="O40" s="68" t="n">
        <f aca="false">IF(O$25&lt;$C19,"",$D19+IF($D19&gt;1,(IF(O$25&gt;=12,1,0)+IF(O$25&gt;=18,1,0)+IF(O$25&gt;18,INT((O$25-18)/5),0)),(IF(O$25&gt;=26,1,0)+IF(O$25&gt;=38,1,0)+IF(O$25&gt;38,INT((O$25-38)/12),0))))</f>
        <v>28</v>
      </c>
    </row>
    <row r="41" customFormat="false" ht="15" hidden="false" customHeight="false" outlineLevel="0" collapsed="false">
      <c r="A41" s="67" t="str">
        <f aca="false">A20</f>
        <v>Reaper</v>
      </c>
      <c r="B41" s="69" t="str">
        <f aca="false">IF(B$25&lt;$C20,"",$D20+IF($D20&gt;1,(IF(B$25&gt;=12,1,0)+IF(B$25&gt;=18,1,0)+IF(B$25&gt;18,INT((B$25-18)/5),0)),(IF(B$25&gt;=26,1,0)+IF(B$25&gt;=38,1,0)+IF(B$25&gt;38,INT((B$25-38)/12),0))))</f>
        <v/>
      </c>
      <c r="C41" s="69" t="str">
        <f aca="false">IF(C$25&lt;$C20,"",$D20+IF($D20&gt;1,(IF(C$25&gt;=12,1,0)+IF(C$25&gt;=18,1,0)+IF(C$25&gt;18,INT((C$25-18)/5),0)),(IF(C$25&gt;=26,1,0)+IF(C$25&gt;=38,1,0)+IF(C$25&gt;38,INT((C$25-38)/12),0))))</f>
        <v/>
      </c>
      <c r="D41" s="69" t="str">
        <f aca="false">IF(D$25&lt;$C20,"",$D20+IF($D20&gt;1,(IF(D$25&gt;=12,1,0)+IF(D$25&gt;=18,1,0)+IF(D$25&gt;18,INT((D$25-18)/5),0)),(IF(D$25&gt;=26,1,0)+IF(D$25&gt;=38,1,0)+IF(D$25&gt;38,INT((D$25-38)/12),0))))</f>
        <v/>
      </c>
      <c r="E41" s="69" t="str">
        <f aca="false">IF(E$25&lt;$C20,"",$D20+IF($D20&gt;1,(IF(E$25&gt;=12,1,0)+IF(E$25&gt;=18,1,0)+IF(E$25&gt;18,INT((E$25-18)/5),0)),(IF(E$25&gt;=26,1,0)+IF(E$25&gt;=38,1,0)+IF(E$25&gt;38,INT((E$25-38)/12),0))))</f>
        <v/>
      </c>
      <c r="F41" s="69" t="n">
        <f aca="false">IF(F$25&lt;$C20,"",$D20+IF($D20&gt;1,(IF(F$25&gt;=12,1,0)+IF(F$25&gt;=18,1,0)+IF(F$25&gt;18,INT((F$25-18)/5),0)),(IF(F$25&gt;=26,1,0)+IF(F$25&gt;=38,1,0)+IF(F$25&gt;38,INT((F$25-38)/12),0))))</f>
        <v>7</v>
      </c>
      <c r="G41" s="69" t="n">
        <f aca="false">IF(G$25&lt;$C20,"",$D20+IF($D20&gt;1,(IF(G$25&gt;=12,1,0)+IF(G$25&gt;=18,1,0)+IF(G$25&gt;18,INT((G$25-18)/5),0)),(IF(G$25&gt;=26,1,0)+IF(G$25&gt;=38,1,0)+IF(G$25&gt;38,INT((G$25-38)/12),0))))</f>
        <v>8</v>
      </c>
      <c r="H41" s="69" t="n">
        <f aca="false">IF(H$25&lt;$C20,"",$D20+IF($D20&gt;1,(IF(H$25&gt;=12,1,0)+IF(H$25&gt;=18,1,0)+IF(H$25&gt;18,INT((H$25-18)/5),0)),(IF(H$25&gt;=26,1,0)+IF(H$25&gt;=38,1,0)+IF(H$25&gt;38,INT((H$25-38)/12),0))))</f>
        <v>9</v>
      </c>
      <c r="I41" s="69" t="n">
        <f aca="false">IF(I$25&lt;$C20,"",$D20+IF($D20&gt;1,(IF(I$25&gt;=12,1,0)+IF(I$25&gt;=18,1,0)+IF(I$25&gt;18,INT((I$25-18)/5),0)),(IF(I$25&gt;=26,1,0)+IF(I$25&gt;=38,1,0)+IF(I$25&gt;38,INT((I$25-38)/12),0))))</f>
        <v>11</v>
      </c>
      <c r="J41" s="69" t="n">
        <f aca="false">IF(J$25&lt;$C20,"",$D20+IF($D20&gt;1,(IF(J$25&gt;=12,1,0)+IF(J$25&gt;=18,1,0)+IF(J$25&gt;18,INT((J$25-18)/5),0)),(IF(J$25&gt;=26,1,0)+IF(J$25&gt;=38,1,0)+IF(J$25&gt;38,INT((J$25-38)/12),0))))</f>
        <v>13</v>
      </c>
      <c r="K41" s="69" t="n">
        <f aca="false">IF(K$25&lt;$C20,"",$D20+IF($D20&gt;1,(IF(K$25&gt;=12,1,0)+IF(K$25&gt;=18,1,0)+IF(K$25&gt;18,INT((K$25-18)/5),0)),(IF(K$25&gt;=26,1,0)+IF(K$25&gt;=38,1,0)+IF(K$25&gt;38,INT((K$25-38)/12),0))))</f>
        <v>15</v>
      </c>
      <c r="L41" s="69" t="n">
        <f aca="false">IF(L$25&lt;$C20,"",$D20+IF($D20&gt;1,(IF(L$25&gt;=12,1,0)+IF(L$25&gt;=18,1,0)+IF(L$25&gt;18,INT((L$25-18)/5),0)),(IF(L$25&gt;=26,1,0)+IF(L$25&gt;=38,1,0)+IF(L$25&gt;38,INT((L$25-38)/12),0))))</f>
        <v>17</v>
      </c>
      <c r="M41" s="69" t="n">
        <f aca="false">IF(M$25&lt;$C20,"",$D20+IF($D20&gt;1,(IF(M$25&gt;=12,1,0)+IF(M$25&gt;=18,1,0)+IF(M$25&gt;18,INT((M$25-18)/5),0)),(IF(M$25&gt;=26,1,0)+IF(M$25&gt;=38,1,0)+IF(M$25&gt;38,INT((M$25-38)/12),0))))</f>
        <v>19</v>
      </c>
      <c r="N41" s="69" t="n">
        <f aca="false">IF(N$25&lt;$C20,"",$D20+IF($D20&gt;1,(IF(N$25&gt;=12,1,0)+IF(N$25&gt;=18,1,0)+IF(N$25&gt;18,INT((N$25-18)/5),0)),(IF(N$25&gt;=26,1,0)+IF(N$25&gt;=38,1,0)+IF(N$25&gt;38,INT((N$25-38)/12),0))))</f>
        <v>21</v>
      </c>
      <c r="O41" s="69" t="n">
        <f aca="false">IF(O$25&lt;$C20,"",$D20+IF($D20&gt;1,(IF(O$25&gt;=12,1,0)+IF(O$25&gt;=18,1,0)+IF(O$25&gt;18,INT((O$25-18)/5),0)),(IF(O$25&gt;=26,1,0)+IF(O$25&gt;=38,1,0)+IF(O$25&gt;38,INT((O$25-38)/12),0))))</f>
        <v>23</v>
      </c>
    </row>
    <row r="42" customFormat="false" ht="15" hidden="false" customHeight="false" outlineLevel="0" collapsed="false">
      <c r="A42" s="67" t="str">
        <f aca="false">A21</f>
        <v>Scrambler</v>
      </c>
      <c r="B42" s="68" t="str">
        <f aca="false">IF(B$25&lt;$C21,"",$D21+IF($D21&gt;1,(IF(B$25&gt;=12,1,0)+IF(B$25&gt;=18,1,0)+IF(B$25&gt;18,INT((B$25-18)/5),0)),(IF(B$25&gt;=26,1,0)+IF(B$25&gt;=38,1,0)+IF(B$25&gt;38,INT((B$25-38)/12),0))))</f>
        <v/>
      </c>
      <c r="C42" s="68" t="str">
        <f aca="false">IF(C$25&lt;$C21,"",$D21+IF($D21&gt;1,(IF(C$25&gt;=12,1,0)+IF(C$25&gt;=18,1,0)+IF(C$25&gt;18,INT((C$25-18)/5),0)),(IF(C$25&gt;=26,1,0)+IF(C$25&gt;=38,1,0)+IF(C$25&gt;38,INT((C$25-38)/12),0))))</f>
        <v/>
      </c>
      <c r="D42" s="68" t="str">
        <f aca="false">IF(D$25&lt;$C21,"",$D21+IF($D21&gt;1,(IF(D$25&gt;=12,1,0)+IF(D$25&gt;=18,1,0)+IF(D$25&gt;18,INT((D$25-18)/5),0)),(IF(D$25&gt;=26,1,0)+IF(D$25&gt;=38,1,0)+IF(D$25&gt;38,INT((D$25-38)/12),0))))</f>
        <v/>
      </c>
      <c r="E42" s="68" t="str">
        <f aca="false">IF(E$25&lt;$C21,"",$D21+IF($D21&gt;1,(IF(E$25&gt;=12,1,0)+IF(E$25&gt;=18,1,0)+IF(E$25&gt;18,INT((E$25-18)/5),0)),(IF(E$25&gt;=26,1,0)+IF(E$25&gt;=38,1,0)+IF(E$25&gt;38,INT((E$25-38)/12),0))))</f>
        <v/>
      </c>
      <c r="F42" s="68" t="str">
        <f aca="false">IF(F$25&lt;$C21,"",$D21+IF($D21&gt;1,(IF(F$25&gt;=12,1,0)+IF(F$25&gt;=18,1,0)+IF(F$25&gt;18,INT((F$25-18)/5),0)),(IF(F$25&gt;=26,1,0)+IF(F$25&gt;=38,1,0)+IF(F$25&gt;38,INT((F$25-38)/12),0))))</f>
        <v/>
      </c>
      <c r="G42" s="68" t="n">
        <f aca="false">IF(G$25&lt;$C21,"",$D21+IF($D21&gt;1,(IF(G$25&gt;=12,1,0)+IF(G$25&gt;=18,1,0)+IF(G$25&gt;18,INT((G$25-18)/5),0)),(IF(G$25&gt;=26,1,0)+IF(G$25&gt;=38,1,0)+IF(G$25&gt;38,INT((G$25-38)/12),0))))</f>
        <v>11</v>
      </c>
      <c r="H42" s="68" t="n">
        <f aca="false">IF(H$25&lt;$C21,"",$D21+IF($D21&gt;1,(IF(H$25&gt;=12,1,0)+IF(H$25&gt;=18,1,0)+IF(H$25&gt;18,INT((H$25-18)/5),0)),(IF(H$25&gt;=26,1,0)+IF(H$25&gt;=38,1,0)+IF(H$25&gt;38,INT((H$25-38)/12),0))))</f>
        <v>12</v>
      </c>
      <c r="I42" s="68" t="n">
        <f aca="false">IF(I$25&lt;$C21,"",$D21+IF($D21&gt;1,(IF(I$25&gt;=12,1,0)+IF(I$25&gt;=18,1,0)+IF(I$25&gt;18,INT((I$25-18)/5),0)),(IF(I$25&gt;=26,1,0)+IF(I$25&gt;=38,1,0)+IF(I$25&gt;38,INT((I$25-38)/12),0))))</f>
        <v>14</v>
      </c>
      <c r="J42" s="68" t="n">
        <f aca="false">IF(J$25&lt;$C21,"",$D21+IF($D21&gt;1,(IF(J$25&gt;=12,1,0)+IF(J$25&gt;=18,1,0)+IF(J$25&gt;18,INT((J$25-18)/5),0)),(IF(J$25&gt;=26,1,0)+IF(J$25&gt;=38,1,0)+IF(J$25&gt;38,INT((J$25-38)/12),0))))</f>
        <v>16</v>
      </c>
      <c r="K42" s="68" t="n">
        <f aca="false">IF(K$25&lt;$C21,"",$D21+IF($D21&gt;1,(IF(K$25&gt;=12,1,0)+IF(K$25&gt;=18,1,0)+IF(K$25&gt;18,INT((K$25-18)/5),0)),(IF(K$25&gt;=26,1,0)+IF(K$25&gt;=38,1,0)+IF(K$25&gt;38,INT((K$25-38)/12),0))))</f>
        <v>18</v>
      </c>
      <c r="L42" s="68" t="n">
        <f aca="false">IF(L$25&lt;$C21,"",$D21+IF($D21&gt;1,(IF(L$25&gt;=12,1,0)+IF(L$25&gt;=18,1,0)+IF(L$25&gt;18,INT((L$25-18)/5),0)),(IF(L$25&gt;=26,1,0)+IF(L$25&gt;=38,1,0)+IF(L$25&gt;38,INT((L$25-38)/12),0))))</f>
        <v>20</v>
      </c>
      <c r="M42" s="68" t="n">
        <f aca="false">IF(M$25&lt;$C21,"",$D21+IF($D21&gt;1,(IF(M$25&gt;=12,1,0)+IF(M$25&gt;=18,1,0)+IF(M$25&gt;18,INT((M$25-18)/5),0)),(IF(M$25&gt;=26,1,0)+IF(M$25&gt;=38,1,0)+IF(M$25&gt;38,INT((M$25-38)/12),0))))</f>
        <v>22</v>
      </c>
      <c r="N42" s="68" t="n">
        <f aca="false">IF(N$25&lt;$C21,"",$D21+IF($D21&gt;1,(IF(N$25&gt;=12,1,0)+IF(N$25&gt;=18,1,0)+IF(N$25&gt;18,INT((N$25-18)/5),0)),(IF(N$25&gt;=26,1,0)+IF(N$25&gt;=38,1,0)+IF(N$25&gt;38,INT((N$25-38)/12),0))))</f>
        <v>24</v>
      </c>
      <c r="O42" s="68" t="n">
        <f aca="false">IF(O$25&lt;$C21,"",$D21+IF($D21&gt;1,(IF(O$25&gt;=12,1,0)+IF(O$25&gt;=18,1,0)+IF(O$25&gt;18,INT((O$25-18)/5),0)),(IF(O$25&gt;=26,1,0)+IF(O$25&gt;=38,1,0)+IF(O$25&gt;38,INT((O$25-38)/12),0))))</f>
        <v>26</v>
      </c>
    </row>
    <row r="43" customFormat="false" ht="15" hidden="false" customHeight="false" outlineLevel="0" collapsed="false">
      <c r="A43" s="67" t="str">
        <f aca="false">A22</f>
        <v>Sower</v>
      </c>
      <c r="B43" s="69" t="str">
        <f aca="false">IF(B$25&lt;$C22,"",$D22+IF($D22&gt;1,(IF(B$25&gt;=12,1,0)+IF(B$25&gt;=18,1,0)+IF(B$25&gt;18,INT((B$25-18)/5),0)),(IF(B$25&gt;=26,1,0)+IF(B$25&gt;=38,1,0)+IF(B$25&gt;38,INT((B$25-38)/12),0))))</f>
        <v/>
      </c>
      <c r="C43" s="69" t="str">
        <f aca="false">IF(C$25&lt;$C22,"",$D22+IF($D22&gt;1,(IF(C$25&gt;=12,1,0)+IF(C$25&gt;=18,1,0)+IF(C$25&gt;18,INT((C$25-18)/5),0)),(IF(C$25&gt;=26,1,0)+IF(C$25&gt;=38,1,0)+IF(C$25&gt;38,INT((C$25-38)/12),0))))</f>
        <v/>
      </c>
      <c r="D43" s="69" t="str">
        <f aca="false">IF(D$25&lt;$C22,"",$D22+IF($D22&gt;1,(IF(D$25&gt;=12,1,0)+IF(D$25&gt;=18,1,0)+IF(D$25&gt;18,INT((D$25-18)/5),0)),(IF(D$25&gt;=26,1,0)+IF(D$25&gt;=38,1,0)+IF(D$25&gt;38,INT((D$25-38)/12),0))))</f>
        <v/>
      </c>
      <c r="E43" s="69" t="str">
        <f aca="false">IF(E$25&lt;$C22,"",$D22+IF($D22&gt;1,(IF(E$25&gt;=12,1,0)+IF(E$25&gt;=18,1,0)+IF(E$25&gt;18,INT((E$25-18)/5),0)),(IF(E$25&gt;=26,1,0)+IF(E$25&gt;=38,1,0)+IF(E$25&gt;38,INT((E$25-38)/12),0))))</f>
        <v/>
      </c>
      <c r="F43" s="69" t="str">
        <f aca="false">IF(F$25&lt;$C22,"",$D22+IF($D22&gt;1,(IF(F$25&gt;=12,1,0)+IF(F$25&gt;=18,1,0)+IF(F$25&gt;18,INT((F$25-18)/5),0)),(IF(F$25&gt;=26,1,0)+IF(F$25&gt;=38,1,0)+IF(F$25&gt;38,INT((F$25-38)/12),0))))</f>
        <v/>
      </c>
      <c r="G43" s="69" t="str">
        <f aca="false">IF(G$25&lt;$C22,"",$D22+IF($D22&gt;1,(IF(G$25&gt;=12,1,0)+IF(G$25&gt;=18,1,0)+IF(G$25&gt;18,INT((G$25-18)/5),0)),(IF(G$25&gt;=26,1,0)+IF(G$25&gt;=38,1,0)+IF(G$25&gt;38,INT((G$25-38)/12),0))))</f>
        <v/>
      </c>
      <c r="H43" s="69" t="n">
        <f aca="false">IF(H$25&lt;$C22,"",$D22+IF($D22&gt;1,(IF(H$25&gt;=12,1,0)+IF(H$25&gt;=18,1,0)+IF(H$25&gt;18,INT((H$25-18)/5),0)),(IF(H$25&gt;=26,1,0)+IF(H$25&gt;=38,1,0)+IF(H$25&gt;38,INT((H$25-38)/12),0))))</f>
        <v>11</v>
      </c>
      <c r="I43" s="69" t="n">
        <f aca="false">IF(I$25&lt;$C22,"",$D22+IF($D22&gt;1,(IF(I$25&gt;=12,1,0)+IF(I$25&gt;=18,1,0)+IF(I$25&gt;18,INT((I$25-18)/5),0)),(IF(I$25&gt;=26,1,0)+IF(I$25&gt;=38,1,0)+IF(I$25&gt;38,INT((I$25-38)/12),0))))</f>
        <v>13</v>
      </c>
      <c r="J43" s="69" t="n">
        <f aca="false">IF(J$25&lt;$C22,"",$D22+IF($D22&gt;1,(IF(J$25&gt;=12,1,0)+IF(J$25&gt;=18,1,0)+IF(J$25&gt;18,INT((J$25-18)/5),0)),(IF(J$25&gt;=26,1,0)+IF(J$25&gt;=38,1,0)+IF(J$25&gt;38,INT((J$25-38)/12),0))))</f>
        <v>15</v>
      </c>
      <c r="K43" s="69" t="n">
        <f aca="false">IF(K$25&lt;$C22,"",$D22+IF($D22&gt;1,(IF(K$25&gt;=12,1,0)+IF(K$25&gt;=18,1,0)+IF(K$25&gt;18,INT((K$25-18)/5),0)),(IF(K$25&gt;=26,1,0)+IF(K$25&gt;=38,1,0)+IF(K$25&gt;38,INT((K$25-38)/12),0))))</f>
        <v>17</v>
      </c>
      <c r="L43" s="69" t="n">
        <f aca="false">IF(L$25&lt;$C22,"",$D22+IF($D22&gt;1,(IF(L$25&gt;=12,1,0)+IF(L$25&gt;=18,1,0)+IF(L$25&gt;18,INT((L$25-18)/5),0)),(IF(L$25&gt;=26,1,0)+IF(L$25&gt;=38,1,0)+IF(L$25&gt;38,INT((L$25-38)/12),0))))</f>
        <v>19</v>
      </c>
      <c r="M43" s="69" t="n">
        <f aca="false">IF(M$25&lt;$C22,"",$D22+IF($D22&gt;1,(IF(M$25&gt;=12,1,0)+IF(M$25&gt;=18,1,0)+IF(M$25&gt;18,INT((M$25-18)/5),0)),(IF(M$25&gt;=26,1,0)+IF(M$25&gt;=38,1,0)+IF(M$25&gt;38,INT((M$25-38)/12),0))))</f>
        <v>21</v>
      </c>
      <c r="N43" s="69" t="n">
        <f aca="false">IF(N$25&lt;$C22,"",$D22+IF($D22&gt;1,(IF(N$25&gt;=12,1,0)+IF(N$25&gt;=18,1,0)+IF(N$25&gt;18,INT((N$25-18)/5),0)),(IF(N$25&gt;=26,1,0)+IF(N$25&gt;=38,1,0)+IF(N$25&gt;38,INT((N$25-38)/12),0))))</f>
        <v>23</v>
      </c>
      <c r="O43" s="69" t="n">
        <f aca="false">IF(O$25&lt;$C22,"",$D22+IF($D22&gt;1,(IF(O$25&gt;=12,1,0)+IF(O$25&gt;=18,1,0)+IF(O$25&gt;18,INT((O$25-18)/5),0)),(IF(O$25&gt;=26,1,0)+IF(O$25&gt;=38,1,0)+IF(O$25&gt;38,INT((O$25-38)/12),0))))</f>
        <v>25</v>
      </c>
    </row>
    <row r="45" customFormat="false" ht="15" hidden="false" customHeight="false" outlineLevel="0" collapsed="false">
      <c r="A45" s="60" t="s">
        <v>562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7A89"/>
    <pageSetUpPr fitToPage="false"/>
  </sheetPr>
  <dimension ref="A1:I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40"/>
    <col collapsed="false" customWidth="true" hidden="false" outlineLevel="0" max="9" min="3" style="1" width="16"/>
  </cols>
  <sheetData>
    <row r="1" customFormat="false" ht="21.75" hidden="false" customHeight="true" outlineLevel="0" collapsed="false">
      <c r="A1" s="2" t="s">
        <v>563</v>
      </c>
    </row>
    <row r="2" customFormat="false" ht="15" hidden="false" customHeight="true" outlineLevel="0" collapsed="false">
      <c r="A2" s="3" t="s">
        <v>564</v>
      </c>
    </row>
    <row r="4" customFormat="false" ht="30" hidden="false" customHeight="true" outlineLevel="0" collapsed="false">
      <c r="A4" s="11" t="s">
        <v>565</v>
      </c>
      <c r="B4" s="11" t="s">
        <v>566</v>
      </c>
      <c r="C4" s="11" t="s">
        <v>567</v>
      </c>
      <c r="D4" s="11" t="s">
        <v>568</v>
      </c>
      <c r="E4" s="11" t="s">
        <v>569</v>
      </c>
      <c r="F4" s="11" t="s">
        <v>570</v>
      </c>
      <c r="G4" s="11" t="s">
        <v>571</v>
      </c>
      <c r="H4" s="11" t="s">
        <v>57</v>
      </c>
      <c r="I4" s="11" t="s">
        <v>572</v>
      </c>
    </row>
    <row r="5" customFormat="false" ht="30" hidden="false" customHeight="true" outlineLevel="0" collapsed="false">
      <c r="A5" s="19" t="s">
        <v>573</v>
      </c>
      <c r="B5" s="12" t="s">
        <v>574</v>
      </c>
      <c r="C5" s="70" t="s">
        <v>575</v>
      </c>
      <c r="D5" s="70" t="s">
        <v>575</v>
      </c>
      <c r="E5" s="9"/>
      <c r="F5" s="9"/>
      <c r="G5" s="9"/>
      <c r="H5" s="9"/>
      <c r="I5" s="9"/>
    </row>
    <row r="6" customFormat="false" ht="30" hidden="false" customHeight="true" outlineLevel="0" collapsed="false">
      <c r="A6" s="19" t="s">
        <v>576</v>
      </c>
      <c r="B6" s="12" t="s">
        <v>577</v>
      </c>
      <c r="C6" s="9"/>
      <c r="D6" s="9"/>
      <c r="E6" s="9"/>
      <c r="F6" s="70" t="s">
        <v>575</v>
      </c>
      <c r="G6" s="9"/>
      <c r="H6" s="9"/>
      <c r="I6" s="9"/>
    </row>
    <row r="7" customFormat="false" ht="30" hidden="false" customHeight="true" outlineLevel="0" collapsed="false">
      <c r="A7" s="19" t="s">
        <v>578</v>
      </c>
      <c r="B7" s="12" t="s">
        <v>579</v>
      </c>
      <c r="C7" s="9"/>
      <c r="D7" s="9"/>
      <c r="E7" s="70" t="s">
        <v>580</v>
      </c>
      <c r="F7" s="9"/>
      <c r="G7" s="9"/>
      <c r="H7" s="9"/>
      <c r="I7" s="9"/>
    </row>
    <row r="8" customFormat="false" ht="30" hidden="false" customHeight="true" outlineLevel="0" collapsed="false">
      <c r="A8" s="19" t="s">
        <v>581</v>
      </c>
      <c r="B8" s="12" t="s">
        <v>582</v>
      </c>
      <c r="C8" s="9"/>
      <c r="D8" s="9"/>
      <c r="E8" s="70" t="s">
        <v>583</v>
      </c>
      <c r="F8" s="9"/>
      <c r="G8" s="9"/>
      <c r="H8" s="9"/>
      <c r="I8" s="9"/>
    </row>
    <row r="9" customFormat="false" ht="30" hidden="false" customHeight="true" outlineLevel="0" collapsed="false">
      <c r="A9" s="19" t="s">
        <v>584</v>
      </c>
      <c r="B9" s="12" t="s">
        <v>585</v>
      </c>
      <c r="C9" s="9"/>
      <c r="D9" s="9"/>
      <c r="E9" s="9"/>
      <c r="F9" s="9"/>
      <c r="G9" s="70" t="s">
        <v>586</v>
      </c>
      <c r="H9" s="9"/>
      <c r="I9" s="9"/>
    </row>
    <row r="10" customFormat="false" ht="30" hidden="false" customHeight="true" outlineLevel="0" collapsed="false">
      <c r="A10" s="19" t="s">
        <v>454</v>
      </c>
      <c r="B10" s="12" t="s">
        <v>587</v>
      </c>
      <c r="C10" s="70" t="s">
        <v>588</v>
      </c>
      <c r="D10" s="70" t="s">
        <v>588</v>
      </c>
      <c r="E10" s="70" t="s">
        <v>588</v>
      </c>
      <c r="F10" s="70" t="s">
        <v>588</v>
      </c>
      <c r="G10" s="9"/>
      <c r="H10" s="9"/>
      <c r="I10" s="9"/>
    </row>
    <row r="11" customFormat="false" ht="30" hidden="false" customHeight="true" outlineLevel="0" collapsed="false">
      <c r="A11" s="19" t="s">
        <v>589</v>
      </c>
      <c r="B11" s="12" t="s">
        <v>522</v>
      </c>
      <c r="C11" s="9"/>
      <c r="D11" s="9"/>
      <c r="E11" s="70" t="s">
        <v>590</v>
      </c>
      <c r="F11" s="9"/>
      <c r="G11" s="9"/>
      <c r="H11" s="9"/>
      <c r="I11" s="9"/>
    </row>
    <row r="12" customFormat="false" ht="30" hidden="false" customHeight="true" outlineLevel="0" collapsed="false">
      <c r="A12" s="19" t="s">
        <v>591</v>
      </c>
      <c r="B12" s="12" t="s">
        <v>592</v>
      </c>
      <c r="C12" s="70" t="s">
        <v>593</v>
      </c>
      <c r="D12" s="9"/>
      <c r="E12" s="70" t="s">
        <v>593</v>
      </c>
      <c r="F12" s="9"/>
      <c r="G12" s="9"/>
      <c r="H12" s="9"/>
      <c r="I12" s="9"/>
    </row>
    <row r="14" customFormat="false" ht="15" hidden="false" customHeight="true" outlineLevel="0" collapsed="false">
      <c r="A14" s="3" t="s">
        <v>594</v>
      </c>
    </row>
    <row r="15" customFormat="false" ht="15" hidden="false" customHeight="true" outlineLevel="0" collapsed="false">
      <c r="A15" s="3" t="s">
        <v>595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A100"/>
    <pageSetUpPr fitToPage="false"/>
  </sheetPr>
  <dimension ref="A1:J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40"/>
    <col collapsed="false" customWidth="true" hidden="false" outlineLevel="0" max="9" min="3" style="1" width="16"/>
    <col collapsed="false" customWidth="true" hidden="false" outlineLevel="0" max="10" min="10" style="1" width="22"/>
  </cols>
  <sheetData>
    <row r="1" customFormat="false" ht="21.75" hidden="false" customHeight="true" outlineLevel="0" collapsed="false">
      <c r="A1" s="2" t="s">
        <v>596</v>
      </c>
    </row>
    <row r="2" customFormat="false" ht="15" hidden="false" customHeight="true" outlineLevel="0" collapsed="false">
      <c r="A2" s="3" t="s">
        <v>597</v>
      </c>
    </row>
    <row r="4" customFormat="false" ht="30" hidden="false" customHeight="true" outlineLevel="0" collapsed="false">
      <c r="A4" s="11" t="s">
        <v>598</v>
      </c>
      <c r="B4" s="11" t="s">
        <v>599</v>
      </c>
      <c r="C4" s="11" t="s">
        <v>85</v>
      </c>
      <c r="D4" s="11" t="s">
        <v>93</v>
      </c>
      <c r="E4" s="11" t="s">
        <v>99</v>
      </c>
      <c r="F4" s="11" t="s">
        <v>103</v>
      </c>
      <c r="G4" s="11" t="s">
        <v>114</v>
      </c>
      <c r="H4" s="11" t="s">
        <v>121</v>
      </c>
      <c r="I4" s="11" t="s">
        <v>87</v>
      </c>
      <c r="J4" s="11" t="s">
        <v>600</v>
      </c>
    </row>
    <row r="5" customFormat="false" ht="15" hidden="false" customHeight="true" outlineLevel="0" collapsed="false">
      <c r="A5" s="12" t="s">
        <v>601</v>
      </c>
      <c r="B5" s="12" t="s">
        <v>602</v>
      </c>
      <c r="C5" s="9" t="s">
        <v>79</v>
      </c>
      <c r="D5" s="9" t="s">
        <v>79</v>
      </c>
      <c r="E5" s="9" t="s">
        <v>79</v>
      </c>
      <c r="F5" s="9" t="s">
        <v>79</v>
      </c>
      <c r="G5" s="9" t="s">
        <v>115</v>
      </c>
      <c r="H5" s="9" t="s">
        <v>122</v>
      </c>
      <c r="I5" s="9" t="s">
        <v>88</v>
      </c>
      <c r="J5" s="26"/>
    </row>
    <row r="6" customFormat="false" ht="15" hidden="false" customHeight="true" outlineLevel="0" collapsed="false">
      <c r="A6" s="13" t="s">
        <v>603</v>
      </c>
      <c r="B6" s="13" t="s">
        <v>229</v>
      </c>
      <c r="C6" s="71" t="s">
        <v>604</v>
      </c>
      <c r="D6" s="71" t="s">
        <v>605</v>
      </c>
      <c r="E6" s="71" t="s">
        <v>606</v>
      </c>
      <c r="F6" s="71" t="s">
        <v>607</v>
      </c>
      <c r="G6" s="71" t="s">
        <v>608</v>
      </c>
      <c r="H6" s="71" t="s">
        <v>609</v>
      </c>
      <c r="I6" s="71" t="s">
        <v>610</v>
      </c>
      <c r="J6" s="26"/>
    </row>
    <row r="7" customFormat="false" ht="15" hidden="false" customHeight="true" outlineLevel="0" collapsed="false">
      <c r="A7" s="12" t="s">
        <v>603</v>
      </c>
      <c r="B7" s="12" t="s">
        <v>230</v>
      </c>
      <c r="C7" s="9" t="s">
        <v>611</v>
      </c>
      <c r="D7" s="9" t="s">
        <v>604</v>
      </c>
      <c r="E7" s="9" t="s">
        <v>612</v>
      </c>
      <c r="F7" s="9" t="s">
        <v>613</v>
      </c>
      <c r="G7" s="9" t="s">
        <v>614</v>
      </c>
      <c r="H7" s="9" t="s">
        <v>615</v>
      </c>
      <c r="I7" s="9" t="s">
        <v>616</v>
      </c>
      <c r="J7" s="26"/>
    </row>
    <row r="8" customFormat="false" ht="15" hidden="false" customHeight="true" outlineLevel="0" collapsed="false">
      <c r="A8" s="13" t="s">
        <v>603</v>
      </c>
      <c r="B8" s="13" t="s">
        <v>617</v>
      </c>
      <c r="C8" s="71" t="s">
        <v>618</v>
      </c>
      <c r="D8" s="71" t="s">
        <v>619</v>
      </c>
      <c r="E8" s="71" t="s">
        <v>620</v>
      </c>
      <c r="F8" s="71" t="s">
        <v>621</v>
      </c>
      <c r="G8" s="71" t="s">
        <v>622</v>
      </c>
      <c r="H8" s="71" t="s">
        <v>623</v>
      </c>
      <c r="I8" s="71" t="s">
        <v>624</v>
      </c>
      <c r="J8" s="26"/>
    </row>
    <row r="9" customFormat="false" ht="15" hidden="false" customHeight="true" outlineLevel="0" collapsed="false">
      <c r="A9" s="12" t="s">
        <v>625</v>
      </c>
      <c r="B9" s="12" t="s">
        <v>626</v>
      </c>
      <c r="C9" s="9" t="s">
        <v>627</v>
      </c>
      <c r="D9" s="9" t="s">
        <v>628</v>
      </c>
      <c r="E9" s="9" t="s">
        <v>629</v>
      </c>
      <c r="F9" s="9" t="s">
        <v>106</v>
      </c>
      <c r="G9" s="9" t="s">
        <v>630</v>
      </c>
      <c r="H9" s="9" t="s">
        <v>124</v>
      </c>
      <c r="I9" s="9" t="s">
        <v>631</v>
      </c>
      <c r="J9" s="26"/>
    </row>
    <row r="10" customFormat="false" ht="15" hidden="false" customHeight="true" outlineLevel="0" collapsed="false">
      <c r="A10" s="13" t="s">
        <v>625</v>
      </c>
      <c r="B10" s="13" t="s">
        <v>632</v>
      </c>
      <c r="C10" s="71" t="s">
        <v>633</v>
      </c>
      <c r="D10" s="71" t="s">
        <v>634</v>
      </c>
      <c r="E10" s="71" t="s">
        <v>635</v>
      </c>
      <c r="F10" s="71" t="s">
        <v>636</v>
      </c>
      <c r="G10" s="71" t="s">
        <v>637</v>
      </c>
      <c r="H10" s="71" t="s">
        <v>638</v>
      </c>
      <c r="I10" s="71" t="s">
        <v>639</v>
      </c>
      <c r="J10" s="26"/>
    </row>
    <row r="11" customFormat="false" ht="15" hidden="false" customHeight="true" outlineLevel="0" collapsed="false">
      <c r="A11" s="12" t="s">
        <v>625</v>
      </c>
      <c r="B11" s="12" t="s">
        <v>640</v>
      </c>
      <c r="C11" s="9" t="s">
        <v>641</v>
      </c>
      <c r="D11" s="9" t="s">
        <v>642</v>
      </c>
      <c r="E11" s="9" t="s">
        <v>643</v>
      </c>
      <c r="F11" s="9" t="s">
        <v>644</v>
      </c>
      <c r="G11" s="9" t="s">
        <v>645</v>
      </c>
      <c r="H11" s="9" t="s">
        <v>646</v>
      </c>
      <c r="I11" s="9" t="s">
        <v>647</v>
      </c>
      <c r="J11" s="26"/>
    </row>
    <row r="12" customFormat="false" ht="15" hidden="false" customHeight="true" outlineLevel="0" collapsed="false">
      <c r="A12" s="13" t="s">
        <v>648</v>
      </c>
      <c r="B12" s="13" t="s">
        <v>649</v>
      </c>
      <c r="C12" s="71" t="s">
        <v>650</v>
      </c>
      <c r="D12" s="71" t="s">
        <v>94</v>
      </c>
      <c r="E12" s="71" t="s">
        <v>100</v>
      </c>
      <c r="F12" s="71" t="s">
        <v>651</v>
      </c>
      <c r="G12" s="71" t="s">
        <v>652</v>
      </c>
      <c r="H12" s="71" t="s">
        <v>123</v>
      </c>
      <c r="I12" s="71" t="s">
        <v>90</v>
      </c>
      <c r="J12" s="26"/>
    </row>
    <row r="13" customFormat="false" ht="15" hidden="false" customHeight="true" outlineLevel="0" collapsed="false">
      <c r="A13" s="12" t="s">
        <v>648</v>
      </c>
      <c r="B13" s="12" t="s">
        <v>653</v>
      </c>
      <c r="C13" s="9" t="s">
        <v>654</v>
      </c>
      <c r="D13" s="9" t="s">
        <v>655</v>
      </c>
      <c r="E13" s="9" t="s">
        <v>656</v>
      </c>
      <c r="F13" s="9" t="s">
        <v>657</v>
      </c>
      <c r="G13" s="9" t="s">
        <v>656</v>
      </c>
      <c r="H13" s="9" t="s">
        <v>656</v>
      </c>
      <c r="I13" s="9" t="s">
        <v>656</v>
      </c>
      <c r="J13" s="26"/>
    </row>
    <row r="14" customFormat="false" ht="15" hidden="false" customHeight="true" outlineLevel="0" collapsed="false">
      <c r="A14" s="13" t="s">
        <v>658</v>
      </c>
      <c r="B14" s="13" t="s">
        <v>659</v>
      </c>
      <c r="C14" s="71" t="s">
        <v>85</v>
      </c>
      <c r="D14" s="71" t="s">
        <v>93</v>
      </c>
      <c r="E14" s="71" t="s">
        <v>99</v>
      </c>
      <c r="F14" s="71" t="s">
        <v>103</v>
      </c>
      <c r="G14" s="71" t="s">
        <v>119</v>
      </c>
      <c r="H14" s="71" t="s">
        <v>660</v>
      </c>
      <c r="I14" s="71" t="s">
        <v>660</v>
      </c>
      <c r="J14" s="26"/>
    </row>
    <row r="15" customFormat="false" ht="23.25" hidden="false" customHeight="true" outlineLevel="0" collapsed="false">
      <c r="A15" s="12" t="s">
        <v>658</v>
      </c>
      <c r="B15" s="12" t="s">
        <v>661</v>
      </c>
      <c r="C15" s="9" t="s">
        <v>662</v>
      </c>
      <c r="D15" s="9" t="s">
        <v>663</v>
      </c>
      <c r="E15" s="9" t="s">
        <v>664</v>
      </c>
      <c r="F15" s="9" t="s">
        <v>665</v>
      </c>
      <c r="G15" s="9" t="s">
        <v>666</v>
      </c>
      <c r="H15" s="9" t="s">
        <v>43</v>
      </c>
      <c r="I15" s="9" t="s">
        <v>43</v>
      </c>
      <c r="J15" s="26"/>
    </row>
    <row r="16" customFormat="false" ht="15" hidden="false" customHeight="true" outlineLevel="0" collapsed="false">
      <c r="A16" s="13" t="s">
        <v>658</v>
      </c>
      <c r="B16" s="13" t="s">
        <v>667</v>
      </c>
      <c r="C16" s="71" t="s">
        <v>450</v>
      </c>
      <c r="D16" s="71" t="s">
        <v>450</v>
      </c>
      <c r="E16" s="71" t="s">
        <v>450</v>
      </c>
      <c r="F16" s="71" t="s">
        <v>450</v>
      </c>
      <c r="G16" s="71" t="s">
        <v>450</v>
      </c>
      <c r="H16" s="72" t="s">
        <v>668</v>
      </c>
      <c r="I16" s="72" t="s">
        <v>668</v>
      </c>
      <c r="J16" s="26"/>
    </row>
    <row r="17" customFormat="false" ht="15" hidden="false" customHeight="true" outlineLevel="0" collapsed="false">
      <c r="A17" s="12" t="s">
        <v>658</v>
      </c>
      <c r="B17" s="12" t="s">
        <v>669</v>
      </c>
      <c r="C17" s="9" t="s">
        <v>670</v>
      </c>
      <c r="D17" s="9" t="s">
        <v>55</v>
      </c>
      <c r="E17" s="9" t="s">
        <v>48</v>
      </c>
      <c r="F17" s="9" t="s">
        <v>85</v>
      </c>
      <c r="G17" s="9" t="s">
        <v>48</v>
      </c>
      <c r="H17" s="72" t="s">
        <v>668</v>
      </c>
      <c r="I17" s="72" t="s">
        <v>668</v>
      </c>
      <c r="J17" s="26"/>
    </row>
    <row r="18" customFormat="false" ht="15" hidden="false" customHeight="true" outlineLevel="0" collapsed="false">
      <c r="A18" s="13" t="s">
        <v>671</v>
      </c>
      <c r="B18" s="13" t="s">
        <v>672</v>
      </c>
      <c r="C18" s="71" t="s">
        <v>530</v>
      </c>
      <c r="D18" s="71" t="s">
        <v>97</v>
      </c>
      <c r="E18" s="71" t="s">
        <v>43</v>
      </c>
      <c r="F18" s="71" t="s">
        <v>673</v>
      </c>
      <c r="G18" s="71" t="s">
        <v>125</v>
      </c>
      <c r="H18" s="71" t="s">
        <v>125</v>
      </c>
      <c r="I18" s="71" t="s">
        <v>43</v>
      </c>
      <c r="J18" s="26"/>
    </row>
    <row r="19" customFormat="false" ht="23.25" hidden="false" customHeight="true" outlineLevel="0" collapsed="false">
      <c r="A19" s="12" t="s">
        <v>671</v>
      </c>
      <c r="B19" s="12" t="s">
        <v>674</v>
      </c>
      <c r="C19" s="9" t="s">
        <v>675</v>
      </c>
      <c r="D19" s="9" t="s">
        <v>676</v>
      </c>
      <c r="E19" s="9" t="s">
        <v>677</v>
      </c>
      <c r="F19" s="9" t="s">
        <v>678</v>
      </c>
      <c r="G19" s="9" t="s">
        <v>295</v>
      </c>
      <c r="H19" s="9" t="s">
        <v>43</v>
      </c>
      <c r="I19" s="9" t="s">
        <v>43</v>
      </c>
      <c r="J19" s="26"/>
    </row>
    <row r="20" customFormat="false" ht="15" hidden="false" customHeight="true" outlineLevel="0" collapsed="false">
      <c r="A20" s="13" t="s">
        <v>679</v>
      </c>
      <c r="B20" s="13" t="s">
        <v>680</v>
      </c>
      <c r="C20" s="71" t="s">
        <v>681</v>
      </c>
      <c r="D20" s="71" t="s">
        <v>681</v>
      </c>
      <c r="E20" s="71" t="s">
        <v>681</v>
      </c>
      <c r="F20" s="71" t="s">
        <v>681</v>
      </c>
      <c r="G20" s="71" t="s">
        <v>682</v>
      </c>
      <c r="H20" s="71" t="s">
        <v>43</v>
      </c>
      <c r="I20" s="71" t="s">
        <v>43</v>
      </c>
      <c r="J20" s="26"/>
    </row>
    <row r="21" customFormat="false" ht="15" hidden="false" customHeight="true" outlineLevel="0" collapsed="false">
      <c r="A21" s="12" t="s">
        <v>679</v>
      </c>
      <c r="B21" s="12" t="s">
        <v>683</v>
      </c>
      <c r="C21" s="9" t="s">
        <v>684</v>
      </c>
      <c r="D21" s="9" t="s">
        <v>685</v>
      </c>
      <c r="E21" s="9" t="s">
        <v>686</v>
      </c>
      <c r="F21" s="9" t="s">
        <v>687</v>
      </c>
      <c r="G21" s="9" t="s">
        <v>688</v>
      </c>
      <c r="H21" s="72" t="s">
        <v>668</v>
      </c>
      <c r="I21" s="72" t="s">
        <v>668</v>
      </c>
      <c r="J21" s="26"/>
    </row>
    <row r="22" customFormat="false" ht="15" hidden="false" customHeight="true" outlineLevel="0" collapsed="false">
      <c r="A22" s="13" t="s">
        <v>689</v>
      </c>
      <c r="B22" s="13" t="s">
        <v>690</v>
      </c>
      <c r="C22" s="71" t="s">
        <v>450</v>
      </c>
      <c r="D22" s="71" t="s">
        <v>450</v>
      </c>
      <c r="E22" s="71" t="s">
        <v>450</v>
      </c>
      <c r="F22" s="71" t="s">
        <v>450</v>
      </c>
      <c r="G22" s="71" t="s">
        <v>691</v>
      </c>
      <c r="H22" s="71" t="s">
        <v>450</v>
      </c>
      <c r="I22" s="71" t="s">
        <v>450</v>
      </c>
      <c r="J22" s="26"/>
    </row>
    <row r="24" customFormat="false" ht="15" hidden="false" customHeight="true" outlineLevel="0" collapsed="false">
      <c r="A24" s="3" t="s">
        <v>692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A100"/>
    <pageSetUpPr fitToPage="false"/>
  </sheetPr>
  <dimension ref="A1:J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3" min="2" style="1" width="18"/>
    <col collapsed="false" customWidth="true" hidden="false" outlineLevel="0" max="4" min="4" style="1" width="22"/>
    <col collapsed="false" customWidth="true" hidden="false" outlineLevel="0" max="6" min="5" style="1" width="13"/>
    <col collapsed="false" customWidth="true" hidden="false" outlineLevel="0" max="7" min="7" style="1" width="50"/>
    <col collapsed="false" customWidth="true" hidden="false" outlineLevel="0" max="8" min="8" style="1" width="12"/>
    <col collapsed="false" customWidth="true" hidden="false" outlineLevel="0" max="9" min="9" style="1" width="11"/>
    <col collapsed="false" customWidth="true" hidden="false" outlineLevel="0" max="10" min="10" style="1" width="14"/>
  </cols>
  <sheetData>
    <row r="1" customFormat="false" ht="21.75" hidden="false" customHeight="true" outlineLevel="0" collapsed="false">
      <c r="A1" s="2" t="s">
        <v>693</v>
      </c>
    </row>
    <row r="2" customFormat="false" ht="15" hidden="false" customHeight="true" outlineLevel="0" collapsed="false">
      <c r="A2" s="3" t="s">
        <v>694</v>
      </c>
    </row>
    <row r="4" customFormat="false" ht="23.25" hidden="false" customHeight="true" outlineLevel="0" collapsed="false">
      <c r="A4" s="11" t="s">
        <v>695</v>
      </c>
      <c r="B4" s="11" t="s">
        <v>696</v>
      </c>
      <c r="C4" s="11" t="s">
        <v>697</v>
      </c>
      <c r="D4" s="11" t="s">
        <v>599</v>
      </c>
      <c r="E4" s="11" t="s">
        <v>698</v>
      </c>
      <c r="F4" s="11" t="s">
        <v>699</v>
      </c>
      <c r="G4" s="11" t="s">
        <v>700</v>
      </c>
      <c r="H4" s="11" t="s">
        <v>701</v>
      </c>
      <c r="I4" s="11" t="s">
        <v>702</v>
      </c>
      <c r="J4" s="11" t="s">
        <v>703</v>
      </c>
    </row>
    <row r="5" customFormat="false" ht="23.25" hidden="false" customHeight="true" outlineLevel="0" collapsed="false">
      <c r="A5" s="73" t="s">
        <v>704</v>
      </c>
      <c r="B5" s="73" t="s">
        <v>705</v>
      </c>
      <c r="C5" s="73" t="s">
        <v>85</v>
      </c>
      <c r="D5" s="73" t="s">
        <v>706</v>
      </c>
      <c r="E5" s="73" t="s">
        <v>95</v>
      </c>
      <c r="F5" s="73" t="s">
        <v>707</v>
      </c>
      <c r="G5" s="73" t="s">
        <v>708</v>
      </c>
      <c r="H5" s="73" t="s">
        <v>709</v>
      </c>
      <c r="I5" s="73" t="s">
        <v>710</v>
      </c>
      <c r="J5" s="73" t="s">
        <v>711</v>
      </c>
    </row>
    <row r="6" customFormat="false" ht="15" hidden="false" customHeight="true" outlineLevel="0" collapsed="false">
      <c r="A6" s="26"/>
      <c r="B6" s="26"/>
      <c r="C6" s="26"/>
      <c r="D6" s="26"/>
      <c r="E6" s="26"/>
      <c r="F6" s="26"/>
      <c r="G6" s="26"/>
      <c r="H6" s="26"/>
      <c r="I6" s="26"/>
      <c r="J6" s="26"/>
    </row>
    <row r="7" customFormat="false" ht="15" hidden="false" customHeight="true" outlineLevel="0" collapsed="false">
      <c r="A7" s="26"/>
      <c r="B7" s="26"/>
      <c r="C7" s="26"/>
      <c r="D7" s="26"/>
      <c r="E7" s="26"/>
      <c r="F7" s="26"/>
      <c r="G7" s="26"/>
      <c r="H7" s="26"/>
      <c r="I7" s="26"/>
      <c r="J7" s="26"/>
    </row>
    <row r="8" customFormat="false" ht="15" hidden="false" customHeight="true" outlineLevel="0" collapsed="false">
      <c r="A8" s="26"/>
      <c r="B8" s="26"/>
      <c r="C8" s="26"/>
      <c r="D8" s="26"/>
      <c r="E8" s="26"/>
      <c r="F8" s="26"/>
      <c r="G8" s="26"/>
      <c r="H8" s="26"/>
      <c r="I8" s="26"/>
      <c r="J8" s="26"/>
    </row>
    <row r="9" customFormat="false" ht="15" hidden="false" customHeight="true" outlineLevel="0" collapsed="false">
      <c r="A9" s="26"/>
      <c r="B9" s="26"/>
      <c r="C9" s="26"/>
      <c r="D9" s="26"/>
      <c r="E9" s="26"/>
      <c r="F9" s="26"/>
      <c r="G9" s="26"/>
      <c r="H9" s="26"/>
      <c r="I9" s="26"/>
      <c r="J9" s="26"/>
    </row>
    <row r="10" customFormat="false" ht="15" hidden="false" customHeight="true" outlineLevel="0" collapsed="false">
      <c r="A10" s="26"/>
      <c r="B10" s="26"/>
      <c r="C10" s="26"/>
      <c r="D10" s="26"/>
      <c r="E10" s="26"/>
      <c r="F10" s="26"/>
      <c r="G10" s="26"/>
      <c r="H10" s="26"/>
      <c r="I10" s="26"/>
      <c r="J10" s="26"/>
    </row>
    <row r="11" customFormat="false" ht="15" hidden="false" customHeight="true" outlineLevel="0" collapsed="false">
      <c r="A11" s="26"/>
      <c r="B11" s="26"/>
      <c r="C11" s="26"/>
      <c r="D11" s="26"/>
      <c r="E11" s="26"/>
      <c r="F11" s="26"/>
      <c r="G11" s="26"/>
      <c r="H11" s="26"/>
      <c r="I11" s="26"/>
      <c r="J11" s="26"/>
    </row>
    <row r="12" customFormat="false" ht="15" hidden="false" customHeight="true" outlineLevel="0" collapsed="false">
      <c r="A12" s="26"/>
      <c r="B12" s="26"/>
      <c r="C12" s="26"/>
      <c r="D12" s="26"/>
      <c r="E12" s="26"/>
      <c r="F12" s="26"/>
      <c r="G12" s="26"/>
      <c r="H12" s="26"/>
      <c r="I12" s="26"/>
      <c r="J12" s="26"/>
    </row>
    <row r="13" customFormat="false" ht="15" hidden="false" customHeight="true" outlineLevel="0" collapsed="false">
      <c r="A13" s="26"/>
      <c r="B13" s="26"/>
      <c r="C13" s="26"/>
      <c r="D13" s="26"/>
      <c r="E13" s="26"/>
      <c r="F13" s="26"/>
      <c r="G13" s="26"/>
      <c r="H13" s="26"/>
      <c r="I13" s="26"/>
      <c r="J13" s="26"/>
    </row>
    <row r="14" customFormat="false" ht="15" hidden="false" customHeight="true" outlineLevel="0" collapsed="false">
      <c r="A14" s="26"/>
      <c r="B14" s="26"/>
      <c r="C14" s="26"/>
      <c r="D14" s="26"/>
      <c r="E14" s="26"/>
      <c r="F14" s="26"/>
      <c r="G14" s="26"/>
      <c r="H14" s="26"/>
      <c r="I14" s="26"/>
      <c r="J14" s="26"/>
    </row>
    <row r="15" customFormat="false" ht="15" hidden="false" customHeight="true" outlineLevel="0" collapsed="false">
      <c r="A15" s="26"/>
      <c r="B15" s="26"/>
      <c r="C15" s="26"/>
      <c r="D15" s="26"/>
      <c r="E15" s="26"/>
      <c r="F15" s="26"/>
      <c r="G15" s="26"/>
      <c r="H15" s="26"/>
      <c r="I15" s="26"/>
      <c r="J15" s="26"/>
    </row>
    <row r="16" customFormat="false" ht="15" hidden="false" customHeight="true" outlineLevel="0" collapsed="false">
      <c r="A16" s="26"/>
      <c r="B16" s="26"/>
      <c r="C16" s="26"/>
      <c r="D16" s="26"/>
      <c r="E16" s="26"/>
      <c r="F16" s="26"/>
      <c r="G16" s="26"/>
      <c r="H16" s="26"/>
      <c r="I16" s="26"/>
      <c r="J16" s="26"/>
    </row>
    <row r="17" customFormat="false" ht="15" hidden="false" customHeight="true" outlineLevel="0" collapsed="false">
      <c r="A17" s="26"/>
      <c r="B17" s="26"/>
      <c r="C17" s="26"/>
      <c r="D17" s="26"/>
      <c r="E17" s="26"/>
      <c r="F17" s="26"/>
      <c r="G17" s="26"/>
      <c r="H17" s="26"/>
      <c r="I17" s="26"/>
      <c r="J17" s="26"/>
    </row>
    <row r="18" customFormat="false" ht="15" hidden="false" customHeight="true" outlineLevel="0" collapsed="false">
      <c r="A18" s="26"/>
      <c r="B18" s="26"/>
      <c r="C18" s="26"/>
      <c r="D18" s="26"/>
      <c r="E18" s="26"/>
      <c r="F18" s="26"/>
      <c r="G18" s="26"/>
      <c r="H18" s="26"/>
      <c r="I18" s="26"/>
      <c r="J18" s="26"/>
    </row>
    <row r="19" customFormat="false" ht="15" hidden="false" customHeight="true" outlineLevel="0" collapsed="false">
      <c r="A19" s="26"/>
      <c r="B19" s="26"/>
      <c r="C19" s="26"/>
      <c r="D19" s="26"/>
      <c r="E19" s="26"/>
      <c r="F19" s="26"/>
      <c r="G19" s="26"/>
      <c r="H19" s="26"/>
      <c r="I19" s="26"/>
      <c r="J19" s="26"/>
    </row>
    <row r="20" customFormat="false" ht="15" hidden="false" customHeight="true" outlineLevel="0" collapsed="false">
      <c r="A20" s="26"/>
      <c r="B20" s="26"/>
      <c r="C20" s="26"/>
      <c r="D20" s="26"/>
      <c r="E20" s="26"/>
      <c r="F20" s="26"/>
      <c r="G20" s="26"/>
      <c r="H20" s="26"/>
      <c r="I20" s="26"/>
      <c r="J20" s="26"/>
    </row>
    <row r="21" customFormat="false" ht="15" hidden="false" customHeight="true" outlineLevel="0" collapsed="false">
      <c r="A21" s="26"/>
      <c r="B21" s="26"/>
      <c r="C21" s="26"/>
      <c r="D21" s="26"/>
      <c r="E21" s="26"/>
      <c r="F21" s="26"/>
      <c r="G21" s="26"/>
      <c r="H21" s="26"/>
      <c r="I21" s="26"/>
      <c r="J21" s="26"/>
    </row>
    <row r="22" customFormat="false" ht="15" hidden="false" customHeight="true" outlineLevel="0" collapsed="false">
      <c r="A22" s="26"/>
      <c r="B22" s="26"/>
      <c r="C22" s="26"/>
      <c r="D22" s="26"/>
      <c r="E22" s="26"/>
      <c r="F22" s="26"/>
      <c r="G22" s="26"/>
      <c r="H22" s="26"/>
      <c r="I22" s="26"/>
      <c r="J22" s="26"/>
    </row>
    <row r="23" customFormat="false" ht="15" hidden="false" customHeight="true" outlineLevel="0" collapsed="false">
      <c r="A23" s="26"/>
      <c r="B23" s="26"/>
      <c r="C23" s="26"/>
      <c r="D23" s="26"/>
      <c r="E23" s="26"/>
      <c r="F23" s="26"/>
      <c r="G23" s="26"/>
      <c r="H23" s="26"/>
      <c r="I23" s="26"/>
      <c r="J23" s="26"/>
    </row>
    <row r="24" customFormat="false" ht="15" hidden="false" customHeight="true" outlineLevel="0" collapsed="false">
      <c r="A24" s="26"/>
      <c r="B24" s="26"/>
      <c r="C24" s="26"/>
      <c r="D24" s="26"/>
      <c r="E24" s="26"/>
      <c r="F24" s="26"/>
      <c r="G24" s="26"/>
      <c r="H24" s="26"/>
      <c r="I24" s="26"/>
      <c r="J24" s="26"/>
    </row>
    <row r="25" customFormat="false" ht="15" hidden="false" customHeight="true" outlineLevel="0" collapsed="false">
      <c r="A25" s="26"/>
      <c r="B25" s="26"/>
      <c r="C25" s="26"/>
      <c r="D25" s="26"/>
      <c r="E25" s="26"/>
      <c r="F25" s="26"/>
      <c r="G25" s="26"/>
      <c r="H25" s="26"/>
      <c r="I25" s="26"/>
      <c r="J25" s="26"/>
    </row>
    <row r="26" customFormat="false" ht="15" hidden="false" customHeight="true" outlineLevel="0" collapsed="false">
      <c r="A26" s="26"/>
      <c r="B26" s="26"/>
      <c r="C26" s="26"/>
      <c r="D26" s="26"/>
      <c r="E26" s="26"/>
      <c r="F26" s="26"/>
      <c r="G26" s="26"/>
      <c r="H26" s="26"/>
      <c r="I26" s="26"/>
      <c r="J26" s="26"/>
    </row>
    <row r="27" customFormat="false" ht="15" hidden="false" customHeight="true" outlineLevel="0" collapsed="false">
      <c r="A27" s="26"/>
      <c r="B27" s="26"/>
      <c r="C27" s="26"/>
      <c r="D27" s="26"/>
      <c r="E27" s="26"/>
      <c r="F27" s="26"/>
      <c r="G27" s="26"/>
      <c r="H27" s="26"/>
      <c r="I27" s="26"/>
      <c r="J27" s="26"/>
    </row>
    <row r="28" customFormat="false" ht="15" hidden="false" customHeight="true" outlineLevel="0" collapsed="false">
      <c r="A28" s="26"/>
      <c r="B28" s="26"/>
      <c r="C28" s="26"/>
      <c r="D28" s="26"/>
      <c r="E28" s="26"/>
      <c r="F28" s="26"/>
      <c r="G28" s="26"/>
      <c r="H28" s="26"/>
      <c r="I28" s="26"/>
      <c r="J28" s="26"/>
    </row>
    <row r="29" customFormat="false" ht="15" hidden="false" customHeight="true" outlineLevel="0" collapsed="false">
      <c r="A29" s="26"/>
      <c r="B29" s="26"/>
      <c r="C29" s="26"/>
      <c r="D29" s="26"/>
      <c r="E29" s="26"/>
      <c r="F29" s="26"/>
      <c r="G29" s="26"/>
      <c r="H29" s="26"/>
      <c r="I29" s="26"/>
      <c r="J29" s="26"/>
    </row>
    <row r="30" customFormat="false" ht="15" hidden="false" customHeight="true" outlineLevel="0" collapsed="false">
      <c r="A30" s="26"/>
      <c r="B30" s="26"/>
      <c r="C30" s="26"/>
      <c r="D30" s="26"/>
      <c r="E30" s="26"/>
      <c r="F30" s="26"/>
      <c r="G30" s="26"/>
      <c r="H30" s="26"/>
      <c r="I30" s="26"/>
      <c r="J30" s="26"/>
    </row>
    <row r="31" customFormat="false" ht="15" hidden="false" customHeight="true" outlineLevel="0" collapsed="false">
      <c r="A31" s="26"/>
      <c r="B31" s="26"/>
      <c r="C31" s="26"/>
      <c r="D31" s="26"/>
      <c r="E31" s="26"/>
      <c r="F31" s="26"/>
      <c r="G31" s="26"/>
      <c r="H31" s="26"/>
      <c r="I31" s="26"/>
      <c r="J31" s="26"/>
    </row>
    <row r="32" customFormat="false" ht="15" hidden="false" customHeight="true" outlineLevel="0" collapsed="false">
      <c r="A32" s="26"/>
      <c r="B32" s="26"/>
      <c r="C32" s="26"/>
      <c r="D32" s="26"/>
      <c r="E32" s="26"/>
      <c r="F32" s="26"/>
      <c r="G32" s="26"/>
      <c r="H32" s="26"/>
      <c r="I32" s="26"/>
      <c r="J32" s="26"/>
    </row>
    <row r="33" customFormat="false" ht="15" hidden="false" customHeight="true" outlineLevel="0" collapsed="false">
      <c r="A33" s="26"/>
      <c r="B33" s="26"/>
      <c r="C33" s="26"/>
      <c r="D33" s="26"/>
      <c r="E33" s="26"/>
      <c r="F33" s="26"/>
      <c r="G33" s="26"/>
      <c r="H33" s="26"/>
      <c r="I33" s="26"/>
      <c r="J33" s="26"/>
    </row>
    <row r="34" customFormat="false" ht="15" hidden="false" customHeight="true" outlineLevel="0" collapsed="false">
      <c r="A34" s="26"/>
      <c r="B34" s="26"/>
      <c r="C34" s="26"/>
      <c r="D34" s="26"/>
      <c r="E34" s="26"/>
      <c r="F34" s="26"/>
      <c r="G34" s="26"/>
      <c r="H34" s="26"/>
      <c r="I34" s="26"/>
      <c r="J34" s="26"/>
    </row>
    <row r="35" customFormat="false" ht="15" hidden="false" customHeight="true" outlineLevel="0" collapsed="false">
      <c r="A35" s="26"/>
      <c r="B35" s="26"/>
      <c r="C35" s="26"/>
      <c r="D35" s="26"/>
      <c r="E35" s="26"/>
      <c r="F35" s="26"/>
      <c r="G35" s="26"/>
      <c r="H35" s="26"/>
      <c r="I35" s="26"/>
      <c r="J35" s="26"/>
    </row>
    <row r="36" customFormat="false" ht="15" hidden="false" customHeight="true" outlineLevel="0" collapsed="false">
      <c r="A36" s="26"/>
      <c r="B36" s="26"/>
      <c r="C36" s="26"/>
      <c r="D36" s="26"/>
      <c r="E36" s="26"/>
      <c r="F36" s="26"/>
      <c r="G36" s="26"/>
      <c r="H36" s="26"/>
      <c r="I36" s="26"/>
      <c r="J36" s="26"/>
    </row>
    <row r="37" customFormat="false" ht="15" hidden="false" customHeight="true" outlineLevel="0" collapsed="false">
      <c r="A37" s="26"/>
      <c r="B37" s="26"/>
      <c r="C37" s="26"/>
      <c r="D37" s="26"/>
      <c r="E37" s="26"/>
      <c r="F37" s="26"/>
      <c r="G37" s="26"/>
      <c r="H37" s="26"/>
      <c r="I37" s="26"/>
      <c r="J37" s="26"/>
    </row>
    <row r="38" customFormat="false" ht="15" hidden="false" customHeight="true" outlineLevel="0" collapsed="false">
      <c r="A38" s="26"/>
      <c r="B38" s="26"/>
      <c r="C38" s="26"/>
      <c r="D38" s="26"/>
      <c r="E38" s="26"/>
      <c r="F38" s="26"/>
      <c r="G38" s="26"/>
      <c r="H38" s="26"/>
      <c r="I38" s="26"/>
      <c r="J38" s="26"/>
    </row>
    <row r="39" customFormat="false" ht="15" hidden="false" customHeight="true" outlineLevel="0" collapsed="false">
      <c r="A39" s="26"/>
      <c r="B39" s="26"/>
      <c r="C39" s="26"/>
      <c r="D39" s="26"/>
      <c r="E39" s="26"/>
      <c r="F39" s="26"/>
      <c r="G39" s="26"/>
      <c r="H39" s="26"/>
      <c r="I39" s="26"/>
      <c r="J39" s="26"/>
    </row>
    <row r="40" customFormat="false" ht="15" hidden="false" customHeight="true" outlineLevel="0" collapsed="false">
      <c r="A40" s="26"/>
      <c r="B40" s="26"/>
      <c r="C40" s="26"/>
      <c r="D40" s="26"/>
      <c r="E40" s="26"/>
      <c r="F40" s="26"/>
      <c r="G40" s="26"/>
      <c r="H40" s="26"/>
      <c r="I40" s="26"/>
      <c r="J40" s="26"/>
    </row>
    <row r="41" customFormat="false" ht="15" hidden="false" customHeight="true" outlineLevel="0" collapsed="false">
      <c r="A41" s="26"/>
      <c r="B41" s="26"/>
      <c r="C41" s="26"/>
      <c r="D41" s="26"/>
      <c r="E41" s="26"/>
      <c r="F41" s="26"/>
      <c r="G41" s="26"/>
      <c r="H41" s="26"/>
      <c r="I41" s="26"/>
      <c r="J41" s="26"/>
    </row>
    <row r="42" customFormat="false" ht="15" hidden="false" customHeight="true" outlineLevel="0" collapsed="false">
      <c r="A42" s="26"/>
      <c r="B42" s="26"/>
      <c r="C42" s="26"/>
      <c r="D42" s="26"/>
      <c r="E42" s="26"/>
      <c r="F42" s="26"/>
      <c r="G42" s="26"/>
      <c r="H42" s="26"/>
      <c r="I42" s="26"/>
      <c r="J42" s="26"/>
    </row>
    <row r="43" customFormat="false" ht="15" hidden="false" customHeight="true" outlineLevel="0" collapsed="false">
      <c r="A43" s="26"/>
      <c r="B43" s="26"/>
      <c r="C43" s="26"/>
      <c r="D43" s="26"/>
      <c r="E43" s="26"/>
      <c r="F43" s="26"/>
      <c r="G43" s="26"/>
      <c r="H43" s="26"/>
      <c r="I43" s="26"/>
      <c r="J43" s="26"/>
    </row>
    <row r="44" customFormat="false" ht="15" hidden="false" customHeight="true" outlineLevel="0" collapsed="false">
      <c r="A44" s="26"/>
      <c r="B44" s="26"/>
      <c r="C44" s="26"/>
      <c r="D44" s="26"/>
      <c r="E44" s="26"/>
      <c r="F44" s="26"/>
      <c r="G44" s="26"/>
      <c r="H44" s="26"/>
      <c r="I44" s="26"/>
      <c r="J44" s="26"/>
    </row>
    <row r="45" customFormat="false" ht="15" hidden="false" customHeight="true" outlineLevel="0" collapsed="false">
      <c r="A45" s="26"/>
      <c r="B45" s="26"/>
      <c r="C45" s="26"/>
      <c r="D45" s="26"/>
      <c r="E45" s="26"/>
      <c r="F45" s="26"/>
      <c r="G45" s="26"/>
      <c r="H45" s="26"/>
      <c r="I45" s="26"/>
      <c r="J45" s="26"/>
    </row>
    <row r="46" customFormat="false" ht="15" hidden="false" customHeight="true" outlineLevel="0" collapsed="false">
      <c r="A46" s="26"/>
      <c r="B46" s="26"/>
      <c r="C46" s="26"/>
      <c r="D46" s="26"/>
      <c r="E46" s="26"/>
      <c r="F46" s="26"/>
      <c r="G46" s="26"/>
      <c r="H46" s="26"/>
      <c r="I46" s="26"/>
      <c r="J46" s="26"/>
    </row>
    <row r="47" customFormat="false" ht="15" hidden="false" customHeight="true" outlineLevel="0" collapsed="false">
      <c r="A47" s="26"/>
      <c r="B47" s="26"/>
      <c r="C47" s="26"/>
      <c r="D47" s="26"/>
      <c r="E47" s="26"/>
      <c r="F47" s="26"/>
      <c r="G47" s="26"/>
      <c r="H47" s="26"/>
      <c r="I47" s="26"/>
      <c r="J47" s="26"/>
    </row>
    <row r="48" customFormat="false" ht="15" hidden="false" customHeight="true" outlineLevel="0" collapsed="false">
      <c r="A48" s="26"/>
      <c r="B48" s="26"/>
      <c r="C48" s="26"/>
      <c r="D48" s="26"/>
      <c r="E48" s="26"/>
      <c r="F48" s="26"/>
      <c r="G48" s="26"/>
      <c r="H48" s="26"/>
      <c r="I48" s="26"/>
      <c r="J48" s="26"/>
    </row>
    <row r="49" customFormat="false" ht="15" hidden="false" customHeight="true" outlineLevel="0" collapsed="false">
      <c r="A49" s="26"/>
      <c r="B49" s="26"/>
      <c r="C49" s="26"/>
      <c r="D49" s="26"/>
      <c r="E49" s="26"/>
      <c r="F49" s="26"/>
      <c r="G49" s="26"/>
      <c r="H49" s="26"/>
      <c r="I49" s="26"/>
      <c r="J49" s="26"/>
    </row>
    <row r="50" customFormat="false" ht="15" hidden="false" customHeight="true" outlineLevel="0" collapsed="false">
      <c r="A50" s="26"/>
      <c r="B50" s="26"/>
      <c r="C50" s="26"/>
      <c r="D50" s="26"/>
      <c r="E50" s="26"/>
      <c r="F50" s="26"/>
      <c r="G50" s="26"/>
      <c r="H50" s="26"/>
      <c r="I50" s="26"/>
      <c r="J50" s="26"/>
    </row>
    <row r="51" customFormat="false" ht="15" hidden="false" customHeight="true" outlineLevel="0" collapsed="false">
      <c r="A51" s="26"/>
      <c r="B51" s="26"/>
      <c r="C51" s="26"/>
      <c r="D51" s="26"/>
      <c r="E51" s="26"/>
      <c r="F51" s="26"/>
      <c r="G51" s="26"/>
      <c r="H51" s="26"/>
      <c r="I51" s="26"/>
      <c r="J51" s="26"/>
    </row>
    <row r="52" customFormat="false" ht="15" hidden="false" customHeight="true" outlineLevel="0" collapsed="false">
      <c r="A52" s="26"/>
      <c r="B52" s="26"/>
      <c r="C52" s="26"/>
      <c r="D52" s="26"/>
      <c r="E52" s="26"/>
      <c r="F52" s="26"/>
      <c r="G52" s="26"/>
      <c r="H52" s="26"/>
      <c r="I52" s="26"/>
      <c r="J52" s="26"/>
    </row>
    <row r="53" customFormat="false" ht="15" hidden="false" customHeight="true" outlineLevel="0" collapsed="false">
      <c r="A53" s="26"/>
      <c r="B53" s="26"/>
      <c r="C53" s="26"/>
      <c r="D53" s="26"/>
      <c r="E53" s="26"/>
      <c r="F53" s="26"/>
      <c r="G53" s="26"/>
      <c r="H53" s="26"/>
      <c r="I53" s="26"/>
      <c r="J53" s="26"/>
    </row>
    <row r="54" customFormat="false" ht="15" hidden="false" customHeight="true" outlineLevel="0" collapsed="false">
      <c r="A54" s="26"/>
      <c r="B54" s="26"/>
      <c r="C54" s="26"/>
      <c r="D54" s="26"/>
      <c r="E54" s="26"/>
      <c r="F54" s="26"/>
      <c r="G54" s="26"/>
      <c r="H54" s="26"/>
      <c r="I54" s="26"/>
      <c r="J54" s="26"/>
    </row>
    <row r="55" customFormat="false" ht="15" hidden="false" customHeight="true" outlineLevel="0" collapsed="false">
      <c r="A55" s="26"/>
      <c r="B55" s="26"/>
      <c r="C55" s="26"/>
      <c r="D55" s="26"/>
      <c r="E55" s="26"/>
      <c r="F55" s="26"/>
      <c r="G55" s="26"/>
      <c r="H55" s="26"/>
      <c r="I55" s="26"/>
      <c r="J55" s="26"/>
    </row>
    <row r="57" customFormat="false" ht="15" hidden="false" customHeight="true" outlineLevel="0" collapsed="false">
      <c r="A57" s="3" t="s">
        <v>712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2026-11-01T02:43:14Z</dcterms:created>
  <dc:creator>openpyxl</dc:creator>
  <dc:description/>
  <dc:language>en-US</dc:language>
  <cp:lastModifiedBy/>
  <dcterms:modified xsi:type="dcterms:W3CDTF">2026-10-31T21:56:26Z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